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15" windowWidth="15195" windowHeight="10800" activeTab="7"/>
  </bookViews>
  <sheets>
    <sheet name="Orçamento Sintético" sheetId="2" r:id="rId1"/>
    <sheet name="Orçamento Resumo" sheetId="3" r:id="rId2"/>
    <sheet name="Cronograma" sheetId="4" r:id="rId3"/>
    <sheet name="Comp. ORSE com insumos SINAPI" sheetId="7" r:id="rId4"/>
    <sheet name="Composições IFPB" sheetId="6" r:id="rId5"/>
    <sheet name="Memória Civil" sheetId="8" r:id="rId6"/>
    <sheet name="Memoria estrutural" sheetId="10" r:id="rId7"/>
    <sheet name="Memória aço" sheetId="11" r:id="rId8"/>
  </sheets>
  <definedNames>
    <definedName name="_xlnm.Print_Area" localSheetId="2">Cronograma!$B$1:$AG$35</definedName>
    <definedName name="_xlnm.Print_Area" localSheetId="0">'Orçamento Sintético'!$A$1:$G$339</definedName>
    <definedName name="_xlnm.Print_Titles" localSheetId="2">Cronograma!$B:$C,Cronograma!$1:$9</definedName>
    <definedName name="_xlnm.Print_Titles" localSheetId="1">'Orçamento Resumo'!$1:$11</definedName>
    <definedName name="_xlnm.Print_Titles" localSheetId="0">'Orçamento Sintético'!$A:$G,'Orçamento Sintético'!$1:$12</definedName>
  </definedNames>
  <calcPr calcId="124519" fullCalcOnLoad="1"/>
</workbook>
</file>

<file path=xl/calcChain.xml><?xml version="1.0" encoding="utf-8"?>
<calcChain xmlns="http://schemas.openxmlformats.org/spreadsheetml/2006/main">
  <c r="G75" i="2"/>
  <c r="G74"/>
  <c r="G73"/>
  <c r="E226"/>
  <c r="AH13" i="4"/>
  <c r="AH14"/>
  <c r="AH15"/>
  <c r="AH16"/>
  <c r="AH17"/>
  <c r="AH18"/>
  <c r="AH19"/>
  <c r="AH20"/>
  <c r="AH21"/>
  <c r="AH22"/>
  <c r="AH23"/>
  <c r="AH24"/>
  <c r="AH25"/>
  <c r="AH26"/>
  <c r="AH27"/>
  <c r="AH28"/>
  <c r="AH29"/>
  <c r="AH30"/>
  <c r="AH31"/>
  <c r="AH32"/>
  <c r="AH33"/>
  <c r="AH12"/>
  <c r="F342" i="2"/>
  <c r="E95" l="1"/>
  <c r="L27" i="10"/>
  <c r="L26"/>
  <c r="L25"/>
  <c r="L24"/>
  <c r="G65" i="6"/>
  <c r="G78"/>
  <c r="G77"/>
  <c r="G76"/>
  <c r="G75"/>
  <c r="G74"/>
  <c r="G73"/>
  <c r="G72"/>
  <c r="G71"/>
  <c r="G70"/>
  <c r="G69"/>
  <c r="G68"/>
  <c r="G67"/>
  <c r="G66"/>
  <c r="G64"/>
  <c r="G79" s="1"/>
  <c r="G31" i="2"/>
  <c r="G257"/>
  <c r="G256"/>
  <c r="G255"/>
  <c r="G254"/>
  <c r="G253"/>
  <c r="G252"/>
  <c r="G251"/>
  <c r="G250"/>
  <c r="G249"/>
  <c r="G248"/>
  <c r="G247"/>
  <c r="G246"/>
  <c r="G245"/>
  <c r="G244"/>
  <c r="G243"/>
  <c r="G242"/>
  <c r="G241" s="1"/>
  <c r="C26" i="3" s="1"/>
  <c r="E26" s="1"/>
  <c r="F26" s="1"/>
  <c r="E296" i="2"/>
  <c r="G296" s="1"/>
  <c r="E295"/>
  <c r="G295" s="1"/>
  <c r="G294" s="1"/>
  <c r="C29" i="3" s="1"/>
  <c r="G293" i="2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E270"/>
  <c r="G269"/>
  <c r="G268" s="1"/>
  <c r="C28" i="3" s="1"/>
  <c r="E44" i="6"/>
  <c r="F157" i="2"/>
  <c r="G293" i="7"/>
  <c r="G294"/>
  <c r="G295"/>
  <c r="G296"/>
  <c r="G292"/>
  <c r="F153" i="2"/>
  <c r="G286" i="7"/>
  <c r="G285"/>
  <c r="G284"/>
  <c r="G283"/>
  <c r="G282"/>
  <c r="F152" i="2"/>
  <c r="G273" i="7"/>
  <c r="G274"/>
  <c r="G275"/>
  <c r="G276"/>
  <c r="G272"/>
  <c r="G256"/>
  <c r="G255"/>
  <c r="G254"/>
  <c r="G253"/>
  <c r="G252"/>
  <c r="F142" i="2"/>
  <c r="G243" i="7"/>
  <c r="G244"/>
  <c r="G245"/>
  <c r="G246"/>
  <c r="G242"/>
  <c r="G237"/>
  <c r="F141" i="2"/>
  <c r="G233" i="7"/>
  <c r="G234"/>
  <c r="G235"/>
  <c r="G236"/>
  <c r="G232"/>
  <c r="F135" i="2"/>
  <c r="G227" i="7"/>
  <c r="G225"/>
  <c r="G226"/>
  <c r="G224"/>
  <c r="G38" i="2"/>
  <c r="G39"/>
  <c r="G40"/>
  <c r="G41"/>
  <c r="G30"/>
  <c r="G177" i="7"/>
  <c r="G178"/>
  <c r="G179"/>
  <c r="G180"/>
  <c r="G181"/>
  <c r="G182"/>
  <c r="G183"/>
  <c r="G184"/>
  <c r="G185"/>
  <c r="G176"/>
  <c r="G167"/>
  <c r="G168"/>
  <c r="G169"/>
  <c r="G170"/>
  <c r="G166"/>
  <c r="G160"/>
  <c r="G159"/>
  <c r="G158"/>
  <c r="G112"/>
  <c r="G113"/>
  <c r="G114"/>
  <c r="G115"/>
  <c r="G116"/>
  <c r="G117"/>
  <c r="G118"/>
  <c r="G119"/>
  <c r="G120"/>
  <c r="G121"/>
  <c r="G122"/>
  <c r="G123"/>
  <c r="G124"/>
  <c r="G111"/>
  <c r="R54" i="8"/>
  <c r="P52"/>
  <c r="E22" i="2" s="1"/>
  <c r="P56" i="8"/>
  <c r="G72" i="7"/>
  <c r="G71"/>
  <c r="E83" i="2"/>
  <c r="G83" s="1"/>
  <c r="E84"/>
  <c r="G84" s="1"/>
  <c r="E85"/>
  <c r="G85" s="1"/>
  <c r="E82"/>
  <c r="G82" s="1"/>
  <c r="C137"/>
  <c r="F54" i="6"/>
  <c r="G54"/>
  <c r="G55"/>
  <c r="G56"/>
  <c r="G57"/>
  <c r="G58"/>
  <c r="G53"/>
  <c r="G257" i="7"/>
  <c r="F143" i="2"/>
  <c r="G247" i="7"/>
  <c r="G186"/>
  <c r="F102" i="2"/>
  <c r="G171" i="7"/>
  <c r="F101" i="2"/>
  <c r="G161" i="7"/>
  <c r="G73"/>
  <c r="F22" i="2"/>
  <c r="G125" i="7"/>
  <c r="G44" i="6"/>
  <c r="G43"/>
  <c r="E47"/>
  <c r="E46"/>
  <c r="G46" s="1"/>
  <c r="G48" s="1"/>
  <c r="F133" i="2" s="1"/>
  <c r="G133" s="1"/>
  <c r="G45" i="6"/>
  <c r="G47"/>
  <c r="G42"/>
  <c r="E160" i="2"/>
  <c r="G160" s="1"/>
  <c r="G236" i="6"/>
  <c r="G235"/>
  <c r="G234"/>
  <c r="G228"/>
  <c r="G227"/>
  <c r="G226"/>
  <c r="G220"/>
  <c r="G219"/>
  <c r="G218"/>
  <c r="G217"/>
  <c r="G211"/>
  <c r="G210"/>
  <c r="G209"/>
  <c r="G208"/>
  <c r="G207"/>
  <c r="G206"/>
  <c r="G205"/>
  <c r="D204"/>
  <c r="G204"/>
  <c r="G203"/>
  <c r="G202"/>
  <c r="G196"/>
  <c r="G195"/>
  <c r="G194"/>
  <c r="G193"/>
  <c r="G192"/>
  <c r="G191"/>
  <c r="G190"/>
  <c r="G189"/>
  <c r="G183"/>
  <c r="G182"/>
  <c r="G181"/>
  <c r="G180"/>
  <c r="G179"/>
  <c r="G178"/>
  <c r="G177"/>
  <c r="G176"/>
  <c r="G170"/>
  <c r="G169"/>
  <c r="G168"/>
  <c r="G167"/>
  <c r="D167"/>
  <c r="D166"/>
  <c r="G166" s="1"/>
  <c r="G165"/>
  <c r="D164"/>
  <c r="G164" s="1"/>
  <c r="D163"/>
  <c r="G163" s="1"/>
  <c r="G157"/>
  <c r="G156"/>
  <c r="G155"/>
  <c r="D154"/>
  <c r="G154" s="1"/>
  <c r="D153"/>
  <c r="G153" s="1"/>
  <c r="G152"/>
  <c r="D151"/>
  <c r="G151" s="1"/>
  <c r="D150"/>
  <c r="G150" s="1"/>
  <c r="G158" s="1"/>
  <c r="G144"/>
  <c r="G143"/>
  <c r="G142"/>
  <c r="G145" s="1"/>
  <c r="G141"/>
  <c r="G135"/>
  <c r="G134"/>
  <c r="G133"/>
  <c r="G132"/>
  <c r="G131"/>
  <c r="G130"/>
  <c r="G129"/>
  <c r="G128"/>
  <c r="G122"/>
  <c r="G121"/>
  <c r="G120"/>
  <c r="G119"/>
  <c r="G113"/>
  <c r="G112"/>
  <c r="G111"/>
  <c r="G110"/>
  <c r="G109"/>
  <c r="G108"/>
  <c r="G107"/>
  <c r="G114" s="1"/>
  <c r="G106"/>
  <c r="E240" i="2"/>
  <c r="G240" s="1"/>
  <c r="E239"/>
  <c r="G239" s="1"/>
  <c r="G238"/>
  <c r="G237"/>
  <c r="G236"/>
  <c r="G235"/>
  <c r="G234"/>
  <c r="G233"/>
  <c r="G232"/>
  <c r="G231"/>
  <c r="G230"/>
  <c r="G229"/>
  <c r="G228"/>
  <c r="G227"/>
  <c r="H226"/>
  <c r="G225"/>
  <c r="G224"/>
  <c r="G223"/>
  <c r="E222"/>
  <c r="G222" s="1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E203"/>
  <c r="G203" s="1"/>
  <c r="G202"/>
  <c r="G201"/>
  <c r="G200"/>
  <c r="I199"/>
  <c r="H199"/>
  <c r="G199"/>
  <c r="G198"/>
  <c r="G197"/>
  <c r="G196"/>
  <c r="G195"/>
  <c r="G194"/>
  <c r="G193"/>
  <c r="G192"/>
  <c r="G191"/>
  <c r="G190"/>
  <c r="G189"/>
  <c r="G188"/>
  <c r="E187"/>
  <c r="G187" s="1"/>
  <c r="E186"/>
  <c r="G186" s="1"/>
  <c r="E185"/>
  <c r="G185" s="1"/>
  <c r="E184"/>
  <c r="G184" s="1"/>
  <c r="G183"/>
  <c r="G182"/>
  <c r="G181"/>
  <c r="G180"/>
  <c r="E81"/>
  <c r="G81" s="1"/>
  <c r="E80"/>
  <c r="G80" s="1"/>
  <c r="J13" i="11"/>
  <c r="G184" i="6"/>
  <c r="G197"/>
  <c r="G212"/>
  <c r="G123"/>
  <c r="G237"/>
  <c r="G221"/>
  <c r="G229"/>
  <c r="G134" i="2"/>
  <c r="G136"/>
  <c r="G159"/>
  <c r="G164"/>
  <c r="G165"/>
  <c r="G166"/>
  <c r="G168"/>
  <c r="G169"/>
  <c r="G170"/>
  <c r="G171"/>
  <c r="G172"/>
  <c r="G173"/>
  <c r="G174"/>
  <c r="G175"/>
  <c r="G176"/>
  <c r="G177"/>
  <c r="G178"/>
  <c r="E150"/>
  <c r="G150" s="1"/>
  <c r="G140"/>
  <c r="E139"/>
  <c r="G139" s="1"/>
  <c r="G138"/>
  <c r="E158"/>
  <c r="G158" s="1"/>
  <c r="E161"/>
  <c r="G161" s="1"/>
  <c r="E162"/>
  <c r="G162" s="1"/>
  <c r="E163"/>
  <c r="G163" s="1"/>
  <c r="E157"/>
  <c r="G157" s="1"/>
  <c r="E155"/>
  <c r="G155" s="1"/>
  <c r="E156"/>
  <c r="G156" s="1"/>
  <c r="E154"/>
  <c r="G154" s="1"/>
  <c r="E151"/>
  <c r="G151" s="1"/>
  <c r="E153"/>
  <c r="E152"/>
  <c r="G152" s="1"/>
  <c r="E147"/>
  <c r="G147" s="1"/>
  <c r="E149"/>
  <c r="G149" s="1"/>
  <c r="E145"/>
  <c r="G145" s="1"/>
  <c r="E146"/>
  <c r="G146" s="1"/>
  <c r="E144"/>
  <c r="G144" s="1"/>
  <c r="E142"/>
  <c r="E143"/>
  <c r="E141"/>
  <c r="E135"/>
  <c r="E148"/>
  <c r="G148" s="1"/>
  <c r="G370" i="7"/>
  <c r="G369"/>
  <c r="G353"/>
  <c r="G354"/>
  <c r="G355"/>
  <c r="G356"/>
  <c r="G357"/>
  <c r="G358"/>
  <c r="G359"/>
  <c r="G360"/>
  <c r="G361"/>
  <c r="G362"/>
  <c r="G363"/>
  <c r="G364"/>
  <c r="G365"/>
  <c r="G352"/>
  <c r="G79" i="2"/>
  <c r="B12" i="3"/>
  <c r="B33"/>
  <c r="C33" i="4" s="1"/>
  <c r="B32" i="3"/>
  <c r="C32" i="4" s="1"/>
  <c r="B31" i="3"/>
  <c r="B30"/>
  <c r="C30" i="4" s="1"/>
  <c r="B29" i="3"/>
  <c r="C29" i="4" s="1"/>
  <c r="B28" i="3"/>
  <c r="C28" i="4" s="1"/>
  <c r="B27" i="3"/>
  <c r="B26"/>
  <c r="C26" i="4" s="1"/>
  <c r="B25" i="3"/>
  <c r="C25" i="4" s="1"/>
  <c r="B24" i="3"/>
  <c r="C24" i="4" s="1"/>
  <c r="B23" i="3"/>
  <c r="B22"/>
  <c r="C22" i="4" s="1"/>
  <c r="B21" i="3"/>
  <c r="C21" i="4" s="1"/>
  <c r="B20" i="3"/>
  <c r="C20" i="4" s="1"/>
  <c r="B19" i="3"/>
  <c r="B18"/>
  <c r="C18" i="4" s="1"/>
  <c r="B17" i="3"/>
  <c r="C17" i="4" s="1"/>
  <c r="B16" i="3"/>
  <c r="C16" i="4" s="1"/>
  <c r="B15" i="3"/>
  <c r="B14"/>
  <c r="C14" i="4" s="1"/>
  <c r="B13" i="3"/>
  <c r="C13" i="4" s="1"/>
  <c r="G72" i="2"/>
  <c r="E76"/>
  <c r="E71"/>
  <c r="G71" s="1"/>
  <c r="E69"/>
  <c r="G69" s="1"/>
  <c r="E66"/>
  <c r="G66" s="1"/>
  <c r="E67"/>
  <c r="G67" s="1"/>
  <c r="E68"/>
  <c r="G68" s="1"/>
  <c r="E65"/>
  <c r="G65" s="1"/>
  <c r="E64"/>
  <c r="G64" s="1"/>
  <c r="E60"/>
  <c r="G60" s="1"/>
  <c r="E59"/>
  <c r="G59" s="1"/>
  <c r="E49"/>
  <c r="G49" s="1"/>
  <c r="E50"/>
  <c r="G50" s="1"/>
  <c r="E51"/>
  <c r="G51" s="1"/>
  <c r="E52"/>
  <c r="G52" s="1"/>
  <c r="E53"/>
  <c r="G53" s="1"/>
  <c r="E54"/>
  <c r="G54" s="1"/>
  <c r="E48"/>
  <c r="G48" s="1"/>
  <c r="D58" i="11"/>
  <c r="D49"/>
  <c r="D40"/>
  <c r="D32"/>
  <c r="D22"/>
  <c r="D21"/>
  <c r="D20"/>
  <c r="D19"/>
  <c r="D18"/>
  <c r="D24"/>
  <c r="D17"/>
  <c r="D13"/>
  <c r="G371" i="7"/>
  <c r="F314" i="2"/>
  <c r="G366" i="7"/>
  <c r="F312" i="2"/>
  <c r="E75" i="10"/>
  <c r="E74"/>
  <c r="E76"/>
  <c r="H67"/>
  <c r="E67"/>
  <c r="M66"/>
  <c r="L66"/>
  <c r="H66"/>
  <c r="F70"/>
  <c r="E66"/>
  <c r="E70"/>
  <c r="N159" i="8"/>
  <c r="R159"/>
  <c r="P157" s="1"/>
  <c r="E96" i="2" s="1"/>
  <c r="G96" s="1"/>
  <c r="D19" i="10"/>
  <c r="P152" i="8"/>
  <c r="R150"/>
  <c r="R149"/>
  <c r="P147"/>
  <c r="E94" i="2" s="1"/>
  <c r="G94" s="1"/>
  <c r="R145" i="8"/>
  <c r="R144"/>
  <c r="I141"/>
  <c r="R141" s="1"/>
  <c r="I140"/>
  <c r="R140" s="1"/>
  <c r="E29" i="2"/>
  <c r="G29" s="1"/>
  <c r="H7" i="10"/>
  <c r="H6"/>
  <c r="H5"/>
  <c r="M28"/>
  <c r="M25"/>
  <c r="M26"/>
  <c r="M27"/>
  <c r="M24"/>
  <c r="G130" i="7"/>
  <c r="G131"/>
  <c r="F32" i="2"/>
  <c r="E85" i="6"/>
  <c r="G85" s="1"/>
  <c r="E83"/>
  <c r="G83" s="1"/>
  <c r="E84"/>
  <c r="G84" s="1"/>
  <c r="E63" i="2"/>
  <c r="J33" i="10"/>
  <c r="J34"/>
  <c r="J32"/>
  <c r="E47" i="2"/>
  <c r="E46"/>
  <c r="G46" s="1"/>
  <c r="E43"/>
  <c r="G43" s="1"/>
  <c r="G25" i="10"/>
  <c r="G26"/>
  <c r="J26"/>
  <c r="G27"/>
  <c r="G24"/>
  <c r="J25"/>
  <c r="E42" i="2"/>
  <c r="G42" s="1"/>
  <c r="J18" i="10"/>
  <c r="E35" i="2"/>
  <c r="G35" s="1"/>
  <c r="E34"/>
  <c r="H34" s="1"/>
  <c r="H60" i="10"/>
  <c r="G60"/>
  <c r="D59"/>
  <c r="H59"/>
  <c r="H58"/>
  <c r="G58"/>
  <c r="D58"/>
  <c r="H57"/>
  <c r="G57"/>
  <c r="D57"/>
  <c r="G56"/>
  <c r="D56"/>
  <c r="H56"/>
  <c r="D55"/>
  <c r="H55"/>
  <c r="H54"/>
  <c r="G54"/>
  <c r="D54"/>
  <c r="H53"/>
  <c r="G53"/>
  <c r="D53"/>
  <c r="G52"/>
  <c r="D52"/>
  <c r="H52"/>
  <c r="D51"/>
  <c r="H51"/>
  <c r="H50"/>
  <c r="G50"/>
  <c r="D50"/>
  <c r="H49"/>
  <c r="G49"/>
  <c r="D49"/>
  <c r="G48"/>
  <c r="D48"/>
  <c r="H48"/>
  <c r="D47"/>
  <c r="H47"/>
  <c r="H46"/>
  <c r="G46"/>
  <c r="D46"/>
  <c r="H45"/>
  <c r="G45"/>
  <c r="D45"/>
  <c r="G44"/>
  <c r="D44"/>
  <c r="H44"/>
  <c r="D43"/>
  <c r="H43"/>
  <c r="H42"/>
  <c r="G42"/>
  <c r="D42"/>
  <c r="H41"/>
  <c r="G41"/>
  <c r="D40"/>
  <c r="H40"/>
  <c r="H39"/>
  <c r="G39"/>
  <c r="D39"/>
  <c r="G34"/>
  <c r="I34"/>
  <c r="I33"/>
  <c r="G33"/>
  <c r="J35"/>
  <c r="E62" i="2"/>
  <c r="G62" s="1"/>
  <c r="I32" i="10"/>
  <c r="I35"/>
  <c r="G32"/>
  <c r="K28"/>
  <c r="K27"/>
  <c r="J27"/>
  <c r="K26"/>
  <c r="K25"/>
  <c r="L28"/>
  <c r="J16" s="1"/>
  <c r="E37" i="2" s="1"/>
  <c r="G37" s="1"/>
  <c r="K24" i="10"/>
  <c r="J24"/>
  <c r="H18"/>
  <c r="G18"/>
  <c r="D18"/>
  <c r="G17"/>
  <c r="G19"/>
  <c r="D17"/>
  <c r="H17"/>
  <c r="H19"/>
  <c r="D12"/>
  <c r="F12"/>
  <c r="F11"/>
  <c r="D11"/>
  <c r="G6"/>
  <c r="D6"/>
  <c r="G5"/>
  <c r="G7"/>
  <c r="D5"/>
  <c r="J28"/>
  <c r="H61"/>
  <c r="F13"/>
  <c r="G40"/>
  <c r="G61"/>
  <c r="G43"/>
  <c r="G47"/>
  <c r="G51"/>
  <c r="G55"/>
  <c r="G59"/>
  <c r="R86" i="8"/>
  <c r="R83"/>
  <c r="R88"/>
  <c r="R89"/>
  <c r="R87"/>
  <c r="R78"/>
  <c r="R77"/>
  <c r="G263" i="7"/>
  <c r="G264"/>
  <c r="G265"/>
  <c r="G266"/>
  <c r="G262"/>
  <c r="P11" i="8"/>
  <c r="E15" i="2"/>
  <c r="R201" i="8"/>
  <c r="P199"/>
  <c r="E107" i="2" s="1"/>
  <c r="G107" s="1"/>
  <c r="R197" i="8"/>
  <c r="P195" s="1"/>
  <c r="E106" i="2" s="1"/>
  <c r="G106" s="1"/>
  <c r="R465" i="8"/>
  <c r="R448"/>
  <c r="R431"/>
  <c r="R170"/>
  <c r="R169"/>
  <c r="R165"/>
  <c r="R183"/>
  <c r="P181"/>
  <c r="E102" i="2" s="1"/>
  <c r="G102" s="1"/>
  <c r="G209" i="7"/>
  <c r="G210"/>
  <c r="G211"/>
  <c r="G212"/>
  <c r="G208"/>
  <c r="N320" i="8"/>
  <c r="R320"/>
  <c r="N332"/>
  <c r="R332"/>
  <c r="R373"/>
  <c r="R351"/>
  <c r="R352"/>
  <c r="R353"/>
  <c r="R350"/>
  <c r="R473"/>
  <c r="R457"/>
  <c r="R297"/>
  <c r="R296"/>
  <c r="R295"/>
  <c r="R605"/>
  <c r="R600"/>
  <c r="R599"/>
  <c r="R598"/>
  <c r="R607"/>
  <c r="P606"/>
  <c r="R606" s="1"/>
  <c r="R604"/>
  <c r="R603"/>
  <c r="L602"/>
  <c r="P602" s="1"/>
  <c r="R602" s="1"/>
  <c r="L601"/>
  <c r="P601"/>
  <c r="R601" s="1"/>
  <c r="G79" i="7"/>
  <c r="G80"/>
  <c r="G81"/>
  <c r="P539" i="8"/>
  <c r="E322" i="2"/>
  <c r="G422" i="7"/>
  <c r="G423"/>
  <c r="G421"/>
  <c r="G413"/>
  <c r="G414"/>
  <c r="G415"/>
  <c r="G412"/>
  <c r="P562" i="8"/>
  <c r="E326" i="2" s="1"/>
  <c r="P545" i="8"/>
  <c r="E323" i="2" s="1"/>
  <c r="P533" i="8"/>
  <c r="E321" i="2" s="1"/>
  <c r="P527" i="8"/>
  <c r="E320" i="2" s="1"/>
  <c r="P556" i="8"/>
  <c r="E325" i="2" s="1"/>
  <c r="G325" s="1"/>
  <c r="P550" i="8"/>
  <c r="E324" i="2" s="1"/>
  <c r="P522" i="8"/>
  <c r="E319" i="2" s="1"/>
  <c r="G319" s="1"/>
  <c r="P517" i="8"/>
  <c r="E318" i="2" s="1"/>
  <c r="G318" s="1"/>
  <c r="P512" i="8"/>
  <c r="E317" i="2" s="1"/>
  <c r="G317" s="1"/>
  <c r="P497" i="8"/>
  <c r="E314" i="2" s="1"/>
  <c r="G314" s="1"/>
  <c r="P507" i="8"/>
  <c r="E316" i="2" s="1"/>
  <c r="P502" i="8"/>
  <c r="E315" i="2" s="1"/>
  <c r="P492" i="8"/>
  <c r="E313" i="2" s="1"/>
  <c r="G313" s="1"/>
  <c r="P487" i="8"/>
  <c r="E312" i="2" s="1"/>
  <c r="G312" s="1"/>
  <c r="R486" i="8"/>
  <c r="R485"/>
  <c r="P591"/>
  <c r="E333" i="2" s="1"/>
  <c r="G450" i="7"/>
  <c r="G451"/>
  <c r="G452"/>
  <c r="G453"/>
  <c r="G454"/>
  <c r="G449"/>
  <c r="G438"/>
  <c r="G439"/>
  <c r="G440"/>
  <c r="G441"/>
  <c r="G442"/>
  <c r="G443"/>
  <c r="G437"/>
  <c r="R589" i="8"/>
  <c r="R588"/>
  <c r="G346" i="7"/>
  <c r="G345"/>
  <c r="G344"/>
  <c r="G343"/>
  <c r="R479" i="8"/>
  <c r="N478"/>
  <c r="R478" s="1"/>
  <c r="P476" s="1"/>
  <c r="E309" i="2" s="1"/>
  <c r="G309" s="1"/>
  <c r="R471" i="8"/>
  <c r="I305" s="1"/>
  <c r="R305" s="1"/>
  <c r="R470"/>
  <c r="R469"/>
  <c r="R468"/>
  <c r="R464"/>
  <c r="R463"/>
  <c r="R462"/>
  <c r="P459" s="1"/>
  <c r="E307" i="2" s="1"/>
  <c r="G307" s="1"/>
  <c r="R454" i="8"/>
  <c r="R453"/>
  <c r="R452"/>
  <c r="R451"/>
  <c r="R447"/>
  <c r="R446"/>
  <c r="R445"/>
  <c r="P442" s="1"/>
  <c r="E306" i="2" s="1"/>
  <c r="G306" s="1"/>
  <c r="R437" i="8"/>
  <c r="R430"/>
  <c r="I302"/>
  <c r="R302" s="1"/>
  <c r="P299" s="1"/>
  <c r="E121" i="2" s="1"/>
  <c r="R436" i="8"/>
  <c r="R435"/>
  <c r="R434"/>
  <c r="R429"/>
  <c r="R428"/>
  <c r="I423"/>
  <c r="R423"/>
  <c r="R422"/>
  <c r="R421"/>
  <c r="I420"/>
  <c r="R420"/>
  <c r="I419"/>
  <c r="R419"/>
  <c r="I414"/>
  <c r="R414"/>
  <c r="R413"/>
  <c r="R412"/>
  <c r="I411"/>
  <c r="R411"/>
  <c r="I410"/>
  <c r="R410"/>
  <c r="I405"/>
  <c r="R405"/>
  <c r="R403"/>
  <c r="R404"/>
  <c r="I402"/>
  <c r="R402"/>
  <c r="I401"/>
  <c r="R401"/>
  <c r="G98" i="6"/>
  <c r="G97"/>
  <c r="G96"/>
  <c r="G95"/>
  <c r="G94"/>
  <c r="G93"/>
  <c r="G92"/>
  <c r="G91"/>
  <c r="G260" i="2"/>
  <c r="G261"/>
  <c r="G262"/>
  <c r="G263"/>
  <c r="G264"/>
  <c r="G266"/>
  <c r="G267"/>
  <c r="R395" i="8"/>
  <c r="N394"/>
  <c r="R394"/>
  <c r="R393"/>
  <c r="R392"/>
  <c r="R391"/>
  <c r="R390"/>
  <c r="P570"/>
  <c r="E328" i="2"/>
  <c r="G328" s="1"/>
  <c r="R384" i="8"/>
  <c r="N383"/>
  <c r="R383" s="1"/>
  <c r="P376" s="1"/>
  <c r="E299" i="2" s="1"/>
  <c r="G299" s="1"/>
  <c r="R382" i="8"/>
  <c r="R381"/>
  <c r="R380"/>
  <c r="R379"/>
  <c r="P309"/>
  <c r="R309" s="1"/>
  <c r="P307" s="1"/>
  <c r="E122" i="2" s="1"/>
  <c r="R361" i="8"/>
  <c r="P358" s="1"/>
  <c r="E129" i="2" s="1"/>
  <c r="G129" s="1"/>
  <c r="R120" i="8"/>
  <c r="R121"/>
  <c r="P369"/>
  <c r="E131" i="2"/>
  <c r="N344" i="8"/>
  <c r="R344"/>
  <c r="R343"/>
  <c r="R342"/>
  <c r="N331"/>
  <c r="R331"/>
  <c r="R330"/>
  <c r="R329"/>
  <c r="R328"/>
  <c r="R327"/>
  <c r="N319"/>
  <c r="R319"/>
  <c r="R318"/>
  <c r="R317"/>
  <c r="R316"/>
  <c r="R315"/>
  <c r="R226"/>
  <c r="R227"/>
  <c r="R228"/>
  <c r="R230"/>
  <c r="G302" i="7"/>
  <c r="G303"/>
  <c r="G301"/>
  <c r="R440" i="8"/>
  <c r="R367"/>
  <c r="R366"/>
  <c r="G100" i="7"/>
  <c r="G101"/>
  <c r="G102"/>
  <c r="G103"/>
  <c r="G104"/>
  <c r="G105"/>
  <c r="G99"/>
  <c r="G93"/>
  <c r="G94"/>
  <c r="I294" i="8"/>
  <c r="R294" s="1"/>
  <c r="I293"/>
  <c r="R293" s="1"/>
  <c r="P290" s="1"/>
  <c r="E120" i="2" s="1"/>
  <c r="I288" i="8"/>
  <c r="R288" s="1"/>
  <c r="R287"/>
  <c r="R286"/>
  <c r="I285"/>
  <c r="R285" s="1"/>
  <c r="I284"/>
  <c r="R284" s="1"/>
  <c r="R279"/>
  <c r="R276"/>
  <c r="R275"/>
  <c r="R274"/>
  <c r="I273"/>
  <c r="R273" s="1"/>
  <c r="R271"/>
  <c r="R270"/>
  <c r="I269"/>
  <c r="R269" s="1"/>
  <c r="I264"/>
  <c r="R264" s="1"/>
  <c r="I263"/>
  <c r="R263" s="1"/>
  <c r="P6"/>
  <c r="R253"/>
  <c r="R255"/>
  <c r="R254"/>
  <c r="R258"/>
  <c r="I252"/>
  <c r="R252"/>
  <c r="R250"/>
  <c r="R249"/>
  <c r="I248"/>
  <c r="R248"/>
  <c r="P245" s="1"/>
  <c r="E116" i="2" s="1"/>
  <c r="G116" s="1"/>
  <c r="I243" i="8"/>
  <c r="R243"/>
  <c r="I240"/>
  <c r="R240"/>
  <c r="I239"/>
  <c r="R239"/>
  <c r="R242"/>
  <c r="R241"/>
  <c r="I238"/>
  <c r="R238"/>
  <c r="I237"/>
  <c r="R237"/>
  <c r="P234" s="1"/>
  <c r="E115" i="2" s="1"/>
  <c r="G115" s="1"/>
  <c r="N126" i="8"/>
  <c r="R126"/>
  <c r="P124" s="1"/>
  <c r="E89" i="2" s="1"/>
  <c r="G89" s="1"/>
  <c r="I113" i="8"/>
  <c r="I103"/>
  <c r="R206"/>
  <c r="R205"/>
  <c r="R211"/>
  <c r="R119"/>
  <c r="N118"/>
  <c r="R118"/>
  <c r="N117"/>
  <c r="R117"/>
  <c r="N116"/>
  <c r="I116"/>
  <c r="R115"/>
  <c r="N114"/>
  <c r="I114"/>
  <c r="N113"/>
  <c r="N112"/>
  <c r="I112"/>
  <c r="R105"/>
  <c r="R109"/>
  <c r="R110"/>
  <c r="N107"/>
  <c r="R107" s="1"/>
  <c r="N106"/>
  <c r="I104"/>
  <c r="I102"/>
  <c r="I106"/>
  <c r="N229"/>
  <c r="R229" s="1"/>
  <c r="R219"/>
  <c r="R179"/>
  <c r="R225"/>
  <c r="P222" s="1"/>
  <c r="E113" i="2" s="1"/>
  <c r="R218" i="8"/>
  <c r="R193"/>
  <c r="R192"/>
  <c r="G152" i="7"/>
  <c r="G151"/>
  <c r="G150"/>
  <c r="G149"/>
  <c r="G148"/>
  <c r="G147"/>
  <c r="G141"/>
  <c r="G140"/>
  <c r="G139"/>
  <c r="G138"/>
  <c r="G137"/>
  <c r="G136"/>
  <c r="R210" i="8"/>
  <c r="R188"/>
  <c r="P186"/>
  <c r="E104" i="2" s="1"/>
  <c r="G104" s="1"/>
  <c r="P132" i="8"/>
  <c r="E91" i="2" s="1"/>
  <c r="G87" i="7"/>
  <c r="G88"/>
  <c r="E14" i="2"/>
  <c r="G14" s="1"/>
  <c r="R67" i="8"/>
  <c r="P65"/>
  <c r="E25" i="2" s="1"/>
  <c r="G25" s="1"/>
  <c r="R63" i="8"/>
  <c r="R62"/>
  <c r="G78" i="7"/>
  <c r="G65"/>
  <c r="G64"/>
  <c r="G58"/>
  <c r="G57"/>
  <c r="G47"/>
  <c r="G48"/>
  <c r="G49"/>
  <c r="G51"/>
  <c r="G50"/>
  <c r="G41"/>
  <c r="G40"/>
  <c r="G34"/>
  <c r="G35"/>
  <c r="G28"/>
  <c r="G27"/>
  <c r="G21"/>
  <c r="G20"/>
  <c r="G14"/>
  <c r="G13"/>
  <c r="G7"/>
  <c r="G6"/>
  <c r="R178" i="8"/>
  <c r="P172"/>
  <c r="E100" i="2"/>
  <c r="G100" s="1"/>
  <c r="R164" i="8"/>
  <c r="K35" i="2"/>
  <c r="K90"/>
  <c r="J93"/>
  <c r="F99"/>
  <c r="R28" i="8"/>
  <c r="P26" s="1"/>
  <c r="R32" s="1"/>
  <c r="P30" s="1"/>
  <c r="P17"/>
  <c r="E16" i="2" s="1"/>
  <c r="E23"/>
  <c r="L96" i="8"/>
  <c r="R96"/>
  <c r="L95"/>
  <c r="R95"/>
  <c r="R50"/>
  <c r="P48"/>
  <c r="E21" i="2" s="1"/>
  <c r="P44" i="8"/>
  <c r="E20" i="2" s="1"/>
  <c r="P40" i="8"/>
  <c r="E19" i="2" s="1"/>
  <c r="R38" i="8"/>
  <c r="R37"/>
  <c r="R36"/>
  <c r="P34" s="1"/>
  <c r="E18" i="2" s="1"/>
  <c r="N24" i="8"/>
  <c r="R24"/>
  <c r="N23"/>
  <c r="R23"/>
  <c r="P69"/>
  <c r="E26" i="2"/>
  <c r="G26" s="1"/>
  <c r="P335" i="8"/>
  <c r="E126" i="2"/>
  <c r="L94" i="8"/>
  <c r="R94"/>
  <c r="L93"/>
  <c r="R93"/>
  <c r="R122"/>
  <c r="N108"/>
  <c r="R108" s="1"/>
  <c r="N104"/>
  <c r="N103"/>
  <c r="N102"/>
  <c r="R102" s="1"/>
  <c r="R584"/>
  <c r="P582" s="1"/>
  <c r="E331" i="2" s="1"/>
  <c r="G331" s="1"/>
  <c r="P574" i="8"/>
  <c r="E329" i="2"/>
  <c r="G329" s="1"/>
  <c r="R580" i="8"/>
  <c r="P578"/>
  <c r="E330" i="2" s="1"/>
  <c r="G330" s="1"/>
  <c r="G309" i="7"/>
  <c r="G308"/>
  <c r="G217"/>
  <c r="G218"/>
  <c r="G199"/>
  <c r="G200"/>
  <c r="G201"/>
  <c r="G202"/>
  <c r="G198"/>
  <c r="G192"/>
  <c r="G191"/>
  <c r="G430"/>
  <c r="G431"/>
  <c r="G429"/>
  <c r="G406"/>
  <c r="G405"/>
  <c r="G399"/>
  <c r="G398"/>
  <c r="G391"/>
  <c r="G392"/>
  <c r="G393"/>
  <c r="G390"/>
  <c r="G384"/>
  <c r="G383"/>
  <c r="G377"/>
  <c r="G376"/>
  <c r="G338"/>
  <c r="G339"/>
  <c r="G324"/>
  <c r="G325"/>
  <c r="G326"/>
  <c r="G327"/>
  <c r="G328"/>
  <c r="G329"/>
  <c r="G330"/>
  <c r="G331"/>
  <c r="G332"/>
  <c r="G323"/>
  <c r="G317"/>
  <c r="G316"/>
  <c r="G315"/>
  <c r="G7" i="6"/>
  <c r="G6"/>
  <c r="G5"/>
  <c r="G4"/>
  <c r="G36"/>
  <c r="G35"/>
  <c r="G34"/>
  <c r="G33"/>
  <c r="G32"/>
  <c r="G31"/>
  <c r="G30"/>
  <c r="G37" s="1"/>
  <c r="F126" i="2" s="1"/>
  <c r="G24" i="6"/>
  <c r="G23"/>
  <c r="G25" s="1"/>
  <c r="F125" i="2" s="1"/>
  <c r="G17" i="6"/>
  <c r="G16"/>
  <c r="G15"/>
  <c r="G14"/>
  <c r="F13"/>
  <c r="G13"/>
  <c r="G18" s="1"/>
  <c r="F121" i="2" s="1"/>
  <c r="B31" i="4"/>
  <c r="B32"/>
  <c r="B33"/>
  <c r="J125" i="2"/>
  <c r="B13" i="4"/>
  <c r="B14"/>
  <c r="B15"/>
  <c r="B16"/>
  <c r="B17"/>
  <c r="B18"/>
  <c r="B19"/>
  <c r="B20"/>
  <c r="B21"/>
  <c r="B22"/>
  <c r="B23"/>
  <c r="B24"/>
  <c r="B25"/>
  <c r="B26"/>
  <c r="B27"/>
  <c r="B28"/>
  <c r="B29"/>
  <c r="B30"/>
  <c r="B12"/>
  <c r="C31"/>
  <c r="C27"/>
  <c r="C23"/>
  <c r="C19"/>
  <c r="C15"/>
  <c r="C12"/>
  <c r="A9" i="3"/>
  <c r="B35"/>
  <c r="B36"/>
  <c r="G259" i="2"/>
  <c r="G8" i="7"/>
  <c r="F15" i="2"/>
  <c r="G15" s="1"/>
  <c r="G59" i="7"/>
  <c r="F20" i="2"/>
  <c r="P176" i="8"/>
  <c r="E101" i="2"/>
  <c r="P60" i="8"/>
  <c r="E24" i="2"/>
  <c r="G24" s="1"/>
  <c r="P190" i="8"/>
  <c r="E105" i="2"/>
  <c r="G105" s="1"/>
  <c r="R113" i="8"/>
  <c r="P363"/>
  <c r="E130" i="2" s="1"/>
  <c r="P482" i="8"/>
  <c r="E311" i="2"/>
  <c r="P162" i="8"/>
  <c r="E98" i="2"/>
  <c r="G98" s="1"/>
  <c r="P167" i="8"/>
  <c r="E99" i="2"/>
  <c r="G99" s="1"/>
  <c r="P208" i="8"/>
  <c r="E109" i="2"/>
  <c r="G109" s="1"/>
  <c r="R106" i="8"/>
  <c r="P203"/>
  <c r="E108" i="2" s="1"/>
  <c r="G108" s="1"/>
  <c r="R104" i="8"/>
  <c r="R112"/>
  <c r="R114"/>
  <c r="S295"/>
  <c r="P74"/>
  <c r="E56" i="2" s="1"/>
  <c r="E57" s="1"/>
  <c r="G57" s="1"/>
  <c r="R116" i="8"/>
  <c r="F28" i="2"/>
  <c r="G28" s="1"/>
  <c r="G385" i="7"/>
  <c r="F316" i="2"/>
  <c r="G407" i="7"/>
  <c r="F322" i="2"/>
  <c r="G322" s="1"/>
  <c r="G213" i="7"/>
  <c r="F131" i="2"/>
  <c r="G131" s="1"/>
  <c r="G333" i="7"/>
  <c r="G378"/>
  <c r="F315" i="2"/>
  <c r="G400" i="7"/>
  <c r="F321" i="2"/>
  <c r="R103" i="8"/>
  <c r="P339"/>
  <c r="E127" i="2" s="1"/>
  <c r="G127" s="1"/>
  <c r="P398" i="8"/>
  <c r="E301" i="2" s="1"/>
  <c r="G301" s="1"/>
  <c r="P80" i="8"/>
  <c r="E58" i="2" s="1"/>
  <c r="G58" s="1"/>
  <c r="P407" i="8"/>
  <c r="E302" i="2" s="1"/>
  <c r="G302" s="1"/>
  <c r="P21" i="8"/>
  <c r="E17" i="2" s="1"/>
  <c r="S112" i="8"/>
  <c r="P216"/>
  <c r="E111" i="2"/>
  <c r="G111" s="1"/>
  <c r="G110" s="1"/>
  <c r="C20" i="3" s="1"/>
  <c r="P312" i="8"/>
  <c r="E124" i="2" s="1"/>
  <c r="P416" i="8"/>
  <c r="E303" i="2" s="1"/>
  <c r="G303" s="1"/>
  <c r="P425" i="8"/>
  <c r="E305" i="2" s="1"/>
  <c r="G305" s="1"/>
  <c r="P586" i="8"/>
  <c r="E332" i="2"/>
  <c r="P347" i="8"/>
  <c r="E128" i="2"/>
  <c r="P91" i="8"/>
  <c r="E77" i="2"/>
  <c r="G77" s="1"/>
  <c r="P324" i="8"/>
  <c r="E125" i="2"/>
  <c r="P387" i="8"/>
  <c r="E300" i="2"/>
  <c r="G300" s="1"/>
  <c r="G29" i="7"/>
  <c r="G66"/>
  <c r="F21" i="2"/>
  <c r="G304" i="7"/>
  <c r="F124" i="2"/>
  <c r="G203" i="7"/>
  <c r="F130" i="2"/>
  <c r="G142" i="7"/>
  <c r="F63" i="2"/>
  <c r="G63" s="1"/>
  <c r="G106" i="7"/>
  <c r="G347"/>
  <c r="F311" i="2"/>
  <c r="G310" i="7"/>
  <c r="F128" i="2"/>
  <c r="G416" i="7"/>
  <c r="F323" i="2"/>
  <c r="G394" i="7"/>
  <c r="F320" i="2"/>
  <c r="G432" i="7"/>
  <c r="F326" i="2"/>
  <c r="G42" i="7"/>
  <c r="F18" i="2"/>
  <c r="G52" i="7"/>
  <c r="F19" i="2"/>
  <c r="G15" i="7"/>
  <c r="F16" i="2"/>
  <c r="G153" i="7"/>
  <c r="F86" i="2"/>
  <c r="G86" s="1"/>
  <c r="G444" i="7"/>
  <c r="F332" i="2"/>
  <c r="G318" i="7"/>
  <c r="G193"/>
  <c r="F113" i="2"/>
  <c r="G219" i="7"/>
  <c r="F122" i="2"/>
  <c r="G22" i="7"/>
  <c r="F17" i="2"/>
  <c r="G82" i="7"/>
  <c r="F23" i="2"/>
  <c r="G23" s="1"/>
  <c r="G455" i="7"/>
  <c r="F333" i="2"/>
  <c r="G424" i="7"/>
  <c r="F324" i="2"/>
  <c r="G267" i="7"/>
  <c r="F167" i="2"/>
  <c r="G167" s="1"/>
  <c r="F76"/>
  <c r="G76" s="1"/>
  <c r="F47"/>
  <c r="F120"/>
  <c r="H187"/>
  <c r="G47"/>
  <c r="G226"/>
  <c r="G141"/>
  <c r="G153"/>
  <c r="G34"/>
  <c r="J199"/>
  <c r="G95"/>
  <c r="G32"/>
  <c r="H203"/>
  <c r="G143"/>
  <c r="G142"/>
  <c r="G101"/>
  <c r="G135"/>
  <c r="G297" i="7"/>
  <c r="G287"/>
  <c r="G277"/>
  <c r="G20" i="2" l="1"/>
  <c r="G16"/>
  <c r="G321"/>
  <c r="G8" i="6"/>
  <c r="G99"/>
  <c r="F265" i="2" s="1"/>
  <c r="G265" s="1"/>
  <c r="G136" i="6"/>
  <c r="G171"/>
  <c r="G59"/>
  <c r="F137" i="2" s="1"/>
  <c r="G137" s="1"/>
  <c r="G132" s="1"/>
  <c r="C24" i="3" s="1"/>
  <c r="E24" s="1"/>
  <c r="F24" s="1"/>
  <c r="S102" i="8"/>
  <c r="S129" s="1"/>
  <c r="R130" s="1"/>
  <c r="P128" s="1"/>
  <c r="E90" i="2" s="1"/>
  <c r="G90" s="1"/>
  <c r="P99" i="8"/>
  <c r="E88" i="2" s="1"/>
  <c r="G88" s="1"/>
  <c r="H91"/>
  <c r="I91" s="1"/>
  <c r="G91"/>
  <c r="P260" i="8"/>
  <c r="E117" i="2" s="1"/>
  <c r="G117" s="1"/>
  <c r="P266" i="8"/>
  <c r="E118" i="2" s="1"/>
  <c r="G118" s="1"/>
  <c r="P281" i="8"/>
  <c r="E119" i="2" s="1"/>
  <c r="G119" s="1"/>
  <c r="P596" i="8"/>
  <c r="E334" i="2" s="1"/>
  <c r="G334" s="1"/>
  <c r="P137" i="8"/>
  <c r="E93" i="2" s="1"/>
  <c r="G93" s="1"/>
  <c r="G324"/>
  <c r="G333"/>
  <c r="G122"/>
  <c r="G21"/>
  <c r="S74" i="8"/>
  <c r="G316" i="2"/>
  <c r="G19"/>
  <c r="G326"/>
  <c r="G320"/>
  <c r="G323"/>
  <c r="G315"/>
  <c r="G310" s="1"/>
  <c r="C31" i="3" s="1"/>
  <c r="G22" i="2"/>
  <c r="G126"/>
  <c r="I203"/>
  <c r="G332"/>
  <c r="G18"/>
  <c r="G128"/>
  <c r="G311"/>
  <c r="G121"/>
  <c r="G33"/>
  <c r="C14" i="3" s="1"/>
  <c r="E14" s="1"/>
  <c r="F14" s="1"/>
  <c r="G86" i="6"/>
  <c r="G336" i="2" s="1"/>
  <c r="G335" s="1"/>
  <c r="C33" i="3" s="1"/>
  <c r="D33" i="4" s="1"/>
  <c r="G124" i="2"/>
  <c r="G113"/>
  <c r="G112" s="1"/>
  <c r="C21" i="3" s="1"/>
  <c r="E21" s="1"/>
  <c r="F21" s="1"/>
  <c r="G17" i="2"/>
  <c r="G130"/>
  <c r="G258"/>
  <c r="C27" i="3" s="1"/>
  <c r="E27" s="1"/>
  <c r="F27" s="1"/>
  <c r="I187" i="2"/>
  <c r="I226"/>
  <c r="G179"/>
  <c r="C25" i="3" s="1"/>
  <c r="D28" i="4"/>
  <c r="E28" i="3"/>
  <c r="F28" s="1"/>
  <c r="D29" i="4"/>
  <c r="E29" i="3"/>
  <c r="F29" s="1"/>
  <c r="G56" i="2"/>
  <c r="G125"/>
  <c r="G120"/>
  <c r="G297"/>
  <c r="C30" i="3" s="1"/>
  <c r="E30" s="1"/>
  <c r="F30" s="1"/>
  <c r="D21" i="4"/>
  <c r="G44" i="2"/>
  <c r="C15" i="3" s="1"/>
  <c r="G87" i="2"/>
  <c r="C16" i="3" s="1"/>
  <c r="G114" i="2"/>
  <c r="C22" i="3" s="1"/>
  <c r="G97" i="2"/>
  <c r="C18" i="3" s="1"/>
  <c r="G103" i="2"/>
  <c r="C19" i="3" s="1"/>
  <c r="E20"/>
  <c r="D20" i="4"/>
  <c r="F20" i="3"/>
  <c r="G92" i="2"/>
  <c r="C17" i="3" s="1"/>
  <c r="D26" i="4"/>
  <c r="G27" i="2"/>
  <c r="F29" i="4" l="1"/>
  <c r="G29"/>
  <c r="M29" s="1"/>
  <c r="G327" i="2"/>
  <c r="C32" i="3" s="1"/>
  <c r="D32" i="4" s="1"/>
  <c r="E33" i="3"/>
  <c r="F33" s="1"/>
  <c r="G123" i="2"/>
  <c r="C23" i="3" s="1"/>
  <c r="D23" i="4" s="1"/>
  <c r="G13" i="2"/>
  <c r="C12" i="3" s="1"/>
  <c r="D30" i="4"/>
  <c r="D14"/>
  <c r="S29"/>
  <c r="D27"/>
  <c r="AC29"/>
  <c r="U29"/>
  <c r="D24"/>
  <c r="F24" s="1"/>
  <c r="AA29"/>
  <c r="Y29"/>
  <c r="AE29"/>
  <c r="E25" i="3"/>
  <c r="F25" s="1"/>
  <c r="D25" i="4"/>
  <c r="F28"/>
  <c r="G28" s="1"/>
  <c r="I29"/>
  <c r="O29"/>
  <c r="Q29"/>
  <c r="K29"/>
  <c r="AG29"/>
  <c r="F27"/>
  <c r="E18" i="3"/>
  <c r="D18" i="4"/>
  <c r="F18" i="3"/>
  <c r="E22"/>
  <c r="F22" s="1"/>
  <c r="D22" i="4"/>
  <c r="E12" i="3"/>
  <c r="F12" s="1"/>
  <c r="D12" i="4"/>
  <c r="E23" i="3"/>
  <c r="F23" s="1"/>
  <c r="D17" i="4"/>
  <c r="E17" i="3"/>
  <c r="F17" s="1"/>
  <c r="F20" i="4"/>
  <c r="G20" s="1"/>
  <c r="F26"/>
  <c r="G26" s="1"/>
  <c r="F33"/>
  <c r="G33" s="1"/>
  <c r="D19"/>
  <c r="E19" i="3"/>
  <c r="F19" s="1"/>
  <c r="D31" i="4"/>
  <c r="E31" i="3"/>
  <c r="F31" s="1"/>
  <c r="E16"/>
  <c r="F16" s="1"/>
  <c r="D16" i="4"/>
  <c r="D15"/>
  <c r="E15" i="3"/>
  <c r="F15" s="1"/>
  <c r="F21" i="4"/>
  <c r="G21" s="1"/>
  <c r="F14"/>
  <c r="C13" i="3"/>
  <c r="E13" s="1"/>
  <c r="H96" i="2"/>
  <c r="G14" i="4" l="1"/>
  <c r="W29"/>
  <c r="AI29" s="1"/>
  <c r="AJ29" s="1"/>
  <c r="F30"/>
  <c r="G30"/>
  <c r="F32"/>
  <c r="G32"/>
  <c r="F25"/>
  <c r="G25" s="1"/>
  <c r="G24"/>
  <c r="G27"/>
  <c r="G337" i="2"/>
  <c r="G338" s="1"/>
  <c r="G339" s="1"/>
  <c r="E32" i="3"/>
  <c r="F32" s="1"/>
  <c r="AE28" i="4"/>
  <c r="W28"/>
  <c r="M28"/>
  <c r="Y28"/>
  <c r="AC28"/>
  <c r="AA28"/>
  <c r="I28"/>
  <c r="O28"/>
  <c r="K28"/>
  <c r="S28"/>
  <c r="AG28"/>
  <c r="Q28"/>
  <c r="U28"/>
  <c r="E34" i="3"/>
  <c r="F13"/>
  <c r="F34" s="1"/>
  <c r="M26" i="4"/>
  <c r="S26"/>
  <c r="K26"/>
  <c r="AC26"/>
  <c r="AG26"/>
  <c r="Y26"/>
  <c r="U26"/>
  <c r="AA26"/>
  <c r="Q26"/>
  <c r="I26"/>
  <c r="W26"/>
  <c r="AE26"/>
  <c r="O26"/>
  <c r="AG27"/>
  <c r="AA27"/>
  <c r="K27"/>
  <c r="M27"/>
  <c r="Q27"/>
  <c r="W27"/>
  <c r="AE27"/>
  <c r="AC27"/>
  <c r="U27"/>
  <c r="Y27"/>
  <c r="O27"/>
  <c r="S27"/>
  <c r="I27"/>
  <c r="AE32"/>
  <c r="AG32"/>
  <c r="W32"/>
  <c r="M32"/>
  <c r="AA32"/>
  <c r="S32"/>
  <c r="K32"/>
  <c r="I32"/>
  <c r="O32"/>
  <c r="AC32"/>
  <c r="U32"/>
  <c r="Y32"/>
  <c r="Q32"/>
  <c r="O30"/>
  <c r="Q30"/>
  <c r="I30"/>
  <c r="S30"/>
  <c r="K30"/>
  <c r="AG30"/>
  <c r="M30"/>
  <c r="AE30"/>
  <c r="W30"/>
  <c r="AC30"/>
  <c r="Y30"/>
  <c r="U30"/>
  <c r="AA30"/>
  <c r="Q14"/>
  <c r="I14"/>
  <c r="W14"/>
  <c r="K14"/>
  <c r="U14"/>
  <c r="Y14"/>
  <c r="AA14"/>
  <c r="AC14"/>
  <c r="AE14"/>
  <c r="O14"/>
  <c r="AG14"/>
  <c r="M14"/>
  <c r="S14"/>
  <c r="F15"/>
  <c r="G15" s="1"/>
  <c r="F31"/>
  <c r="G31" s="1"/>
  <c r="F19"/>
  <c r="G19" s="1"/>
  <c r="F17"/>
  <c r="G17" s="1"/>
  <c r="F23"/>
  <c r="G23" s="1"/>
  <c r="F12"/>
  <c r="G12" s="1"/>
  <c r="C34" i="3"/>
  <c r="D13" s="1"/>
  <c r="E13" i="4" s="1"/>
  <c r="D13"/>
  <c r="AA21"/>
  <c r="M21"/>
  <c r="O21"/>
  <c r="Q21"/>
  <c r="U21"/>
  <c r="Y21"/>
  <c r="W21"/>
  <c r="K21"/>
  <c r="AC21"/>
  <c r="I21"/>
  <c r="AE21"/>
  <c r="AG21"/>
  <c r="S21"/>
  <c r="F16"/>
  <c r="G16" s="1"/>
  <c r="AA33"/>
  <c r="Q33"/>
  <c r="U33"/>
  <c r="AE33"/>
  <c r="W33"/>
  <c r="M33"/>
  <c r="O33"/>
  <c r="Y33"/>
  <c r="AG33"/>
  <c r="AI33" s="1"/>
  <c r="AJ33" s="1"/>
  <c r="S33"/>
  <c r="AC33"/>
  <c r="I33"/>
  <c r="K33"/>
  <c r="W20"/>
  <c r="O20"/>
  <c r="Q20"/>
  <c r="M20"/>
  <c r="I20"/>
  <c r="AC20"/>
  <c r="AE20"/>
  <c r="AG20"/>
  <c r="S20"/>
  <c r="Y20"/>
  <c r="K20"/>
  <c r="U20"/>
  <c r="AA20"/>
  <c r="K24"/>
  <c r="S24"/>
  <c r="U24"/>
  <c r="AG24"/>
  <c r="O24"/>
  <c r="AC24"/>
  <c r="AE24"/>
  <c r="Y24"/>
  <c r="M24"/>
  <c r="Q24"/>
  <c r="AA24"/>
  <c r="I24"/>
  <c r="W24"/>
  <c r="F22"/>
  <c r="G22" s="1"/>
  <c r="F18"/>
  <c r="G18" s="1"/>
  <c r="D34"/>
  <c r="AI20" l="1"/>
  <c r="AJ20" s="1"/>
  <c r="AI21"/>
  <c r="AJ21" s="1"/>
  <c r="AI14"/>
  <c r="AJ14" s="1"/>
  <c r="AI30"/>
  <c r="AJ30" s="1"/>
  <c r="AI26"/>
  <c r="AJ26" s="1"/>
  <c r="AI32"/>
  <c r="AJ32" s="1"/>
  <c r="AI28"/>
  <c r="AJ28" s="1"/>
  <c r="F13"/>
  <c r="G13" s="1"/>
  <c r="AA13" s="1"/>
  <c r="AA25"/>
  <c r="AG25"/>
  <c r="O25"/>
  <c r="Y25"/>
  <c r="S25"/>
  <c r="I25"/>
  <c r="W25"/>
  <c r="M25"/>
  <c r="K25"/>
  <c r="AE25"/>
  <c r="U25"/>
  <c r="AC25"/>
  <c r="Q25"/>
  <c r="AI27"/>
  <c r="AJ27" s="1"/>
  <c r="AI24"/>
  <c r="AJ24" s="1"/>
  <c r="D25" i="3"/>
  <c r="E25" i="4" s="1"/>
  <c r="G345" i="2"/>
  <c r="D23" i="3"/>
  <c r="E23" i="4" s="1"/>
  <c r="D15" i="3"/>
  <c r="E15" i="4" s="1"/>
  <c r="D19" i="3"/>
  <c r="E19" i="4" s="1"/>
  <c r="D24" i="3"/>
  <c r="E24" i="4" s="1"/>
  <c r="D17" i="3"/>
  <c r="E17" i="4" s="1"/>
  <c r="D20" i="3"/>
  <c r="E20" i="4" s="1"/>
  <c r="D33" i="3"/>
  <c r="E33" i="4" s="1"/>
  <c r="D26" i="3"/>
  <c r="E26" i="4" s="1"/>
  <c r="D28" i="3"/>
  <c r="E28" i="4" s="1"/>
  <c r="D27" i="3"/>
  <c r="E27" i="4" s="1"/>
  <c r="F34"/>
  <c r="D12" i="3"/>
  <c r="E12" i="4" s="1"/>
  <c r="D21" i="3"/>
  <c r="E21" i="4" s="1"/>
  <c r="D32" i="3"/>
  <c r="E32" i="4" s="1"/>
  <c r="D18" i="3"/>
  <c r="E18" i="4" s="1"/>
  <c r="D31" i="3"/>
  <c r="E31" i="4" s="1"/>
  <c r="D22" i="3"/>
  <c r="E22" i="4" s="1"/>
  <c r="C35" i="3"/>
  <c r="C36" s="1"/>
  <c r="D14"/>
  <c r="E14" i="4" s="1"/>
  <c r="D30" i="3"/>
  <c r="E30" i="4" s="1"/>
  <c r="D29" i="3"/>
  <c r="E29" i="4" s="1"/>
  <c r="D16" i="3"/>
  <c r="E16" i="4" s="1"/>
  <c r="K22"/>
  <c r="W22"/>
  <c r="O22"/>
  <c r="Q22"/>
  <c r="U22"/>
  <c r="AG22"/>
  <c r="I22"/>
  <c r="AE22"/>
  <c r="AA22"/>
  <c r="Y22"/>
  <c r="AC22"/>
  <c r="M22"/>
  <c r="S22"/>
  <c r="U12"/>
  <c r="S12"/>
  <c r="Y12"/>
  <c r="AE12"/>
  <c r="M12"/>
  <c r="AG12"/>
  <c r="K12"/>
  <c r="I12"/>
  <c r="Q12"/>
  <c r="AA12"/>
  <c r="O12"/>
  <c r="W12"/>
  <c r="AC12"/>
  <c r="S18"/>
  <c r="K18"/>
  <c r="W18"/>
  <c r="AC18"/>
  <c r="O18"/>
  <c r="Y18"/>
  <c r="M18"/>
  <c r="I18"/>
  <c r="AG18"/>
  <c r="U18"/>
  <c r="AA18"/>
  <c r="Q18"/>
  <c r="AE18"/>
  <c r="Y16"/>
  <c r="K16"/>
  <c r="Q16"/>
  <c r="AC16"/>
  <c r="M16"/>
  <c r="AE16"/>
  <c r="S16"/>
  <c r="O16"/>
  <c r="I16"/>
  <c r="U16"/>
  <c r="AG16"/>
  <c r="AA16"/>
  <c r="W16"/>
  <c r="W23"/>
  <c r="O23"/>
  <c r="Q23"/>
  <c r="M23"/>
  <c r="K23"/>
  <c r="AE23"/>
  <c r="Y23"/>
  <c r="U23"/>
  <c r="AA23"/>
  <c r="I23"/>
  <c r="AG23"/>
  <c r="AC23"/>
  <c r="S23"/>
  <c r="AC17"/>
  <c r="U17"/>
  <c r="Q17"/>
  <c r="W17"/>
  <c r="AE17"/>
  <c r="K17"/>
  <c r="I17"/>
  <c r="M17"/>
  <c r="AG17"/>
  <c r="AA17"/>
  <c r="S17"/>
  <c r="O17"/>
  <c r="Y17"/>
  <c r="AC19"/>
  <c r="Q19"/>
  <c r="Y19"/>
  <c r="K19"/>
  <c r="U19"/>
  <c r="I19"/>
  <c r="AA19"/>
  <c r="W19"/>
  <c r="O19"/>
  <c r="M19"/>
  <c r="S19"/>
  <c r="AE19"/>
  <c r="AG19"/>
  <c r="AI19" s="1"/>
  <c r="AJ19" s="1"/>
  <c r="I31"/>
  <c r="M31"/>
  <c r="Y31"/>
  <c r="AC31"/>
  <c r="AG31"/>
  <c r="AA31"/>
  <c r="W31"/>
  <c r="U31"/>
  <c r="S31"/>
  <c r="AE31"/>
  <c r="K31"/>
  <c r="Q31"/>
  <c r="O31"/>
  <c r="O15"/>
  <c r="M15"/>
  <c r="AG15"/>
  <c r="AE15"/>
  <c r="I15"/>
  <c r="S15"/>
  <c r="Q15"/>
  <c r="K15"/>
  <c r="U15"/>
  <c r="Y15"/>
  <c r="AC15"/>
  <c r="AA15"/>
  <c r="W15"/>
  <c r="AI31" l="1"/>
  <c r="AJ31" s="1"/>
  <c r="AI17"/>
  <c r="AJ17" s="1"/>
  <c r="AI16"/>
  <c r="AJ16" s="1"/>
  <c r="AI18"/>
  <c r="AJ18" s="1"/>
  <c r="AI12"/>
  <c r="AJ12" s="1"/>
  <c r="AI15"/>
  <c r="AJ15" s="1"/>
  <c r="AI25"/>
  <c r="AJ25" s="1"/>
  <c r="AI22"/>
  <c r="AJ22" s="1"/>
  <c r="AI23"/>
  <c r="AJ23" s="1"/>
  <c r="E34"/>
  <c r="D34" i="3"/>
  <c r="G34" i="4"/>
  <c r="K13"/>
  <c r="K34" s="1"/>
  <c r="K35" s="1"/>
  <c r="I13"/>
  <c r="I34" s="1"/>
  <c r="I35" s="1"/>
  <c r="AE13"/>
  <c r="AE34" s="1"/>
  <c r="S13"/>
  <c r="S34" s="1"/>
  <c r="R34" s="1"/>
  <c r="R35" s="1"/>
  <c r="W13"/>
  <c r="W34" s="1"/>
  <c r="Y13"/>
  <c r="Y34" s="1"/>
  <c r="AA34"/>
  <c r="AG13"/>
  <c r="M13"/>
  <c r="M34" s="1"/>
  <c r="M35" s="1"/>
  <c r="U13"/>
  <c r="U34" s="1"/>
  <c r="O13"/>
  <c r="O34" s="1"/>
  <c r="O35" s="1"/>
  <c r="Q13"/>
  <c r="Q34" s="1"/>
  <c r="Q35" s="1"/>
  <c r="AC13"/>
  <c r="AC34" s="1"/>
  <c r="AG34" l="1"/>
  <c r="AI13"/>
  <c r="AJ13" s="1"/>
  <c r="AB34"/>
  <c r="X34"/>
  <c r="Z34"/>
  <c r="L34"/>
  <c r="L35" s="1"/>
  <c r="AF34"/>
  <c r="S35"/>
  <c r="U35" s="1"/>
  <c r="W35" s="1"/>
  <c r="Y35" s="1"/>
  <c r="AA35" s="1"/>
  <c r="AC35" s="1"/>
  <c r="AE35" s="1"/>
  <c r="AD34"/>
  <c r="T34"/>
  <c r="T35" s="1"/>
  <c r="H34"/>
  <c r="H35" s="1"/>
  <c r="V34"/>
  <c r="V35" s="1"/>
  <c r="X35" s="1"/>
  <c r="N34"/>
  <c r="N35" s="1"/>
  <c r="J34"/>
  <c r="J35" s="1"/>
  <c r="P34"/>
  <c r="P35" s="1"/>
  <c r="AG35" l="1"/>
  <c r="Z35"/>
  <c r="AB35" s="1"/>
  <c r="AD35" s="1"/>
  <c r="AF35" s="1"/>
</calcChain>
</file>

<file path=xl/sharedStrings.xml><?xml version="1.0" encoding="utf-8"?>
<sst xmlns="http://schemas.openxmlformats.org/spreadsheetml/2006/main" count="4327" uniqueCount="1558">
  <si>
    <t>ITEM</t>
  </si>
  <si>
    <t>DISCRIMINAÇÃO</t>
  </si>
  <si>
    <t>1.1</t>
  </si>
  <si>
    <t>ALVENARIA E VEDAÇÕES</t>
  </si>
  <si>
    <t>PAVIMENTAÇÃO</t>
  </si>
  <si>
    <t>PINTURA</t>
  </si>
  <si>
    <t>VIDROS</t>
  </si>
  <si>
    <t>BANCADAS, LOUÇAS, METAIS E ACESSÓRIOS</t>
  </si>
  <si>
    <t>REFERÊNCIA</t>
  </si>
  <si>
    <t>m²</t>
  </si>
  <si>
    <t>unid</t>
  </si>
  <si>
    <t>m</t>
  </si>
  <si>
    <t>REVESTIMENTO</t>
  </si>
  <si>
    <t>3.1</t>
  </si>
  <si>
    <t>7.1</t>
  </si>
  <si>
    <t>9.1</t>
  </si>
  <si>
    <t>15.1</t>
  </si>
  <si>
    <t>V.TOTAL(R$)</t>
  </si>
  <si>
    <t>TOTAL PARCIAL</t>
  </si>
  <si>
    <t>TOTAL GERAL</t>
  </si>
  <si>
    <t>16.1</t>
  </si>
  <si>
    <t>16.2</t>
  </si>
  <si>
    <t>16.3</t>
  </si>
  <si>
    <t>16.4</t>
  </si>
  <si>
    <t>16.5</t>
  </si>
  <si>
    <t>16.6</t>
  </si>
  <si>
    <t>SERVIÇOS COMPLEMENTARES</t>
  </si>
  <si>
    <t>V.PARCIAL(R$)</t>
  </si>
  <si>
    <t>%</t>
  </si>
  <si>
    <t>V.TOTAL(R$)           c/ BDI</t>
  </si>
  <si>
    <t>30 Dias</t>
  </si>
  <si>
    <t>Valor(R$)</t>
  </si>
  <si>
    <t xml:space="preserve">TOTAL </t>
  </si>
  <si>
    <t>TOTAL ACUMULADO</t>
  </si>
  <si>
    <t>60 Dias</t>
  </si>
  <si>
    <t>90 Dias</t>
  </si>
  <si>
    <t>120 Dias</t>
  </si>
  <si>
    <t>150 Dias</t>
  </si>
  <si>
    <t>CRONOGRAMA FÍSICO-FINANCEIRO</t>
  </si>
  <si>
    <t>15.2</t>
  </si>
  <si>
    <t>15.3</t>
  </si>
  <si>
    <t>15.4</t>
  </si>
  <si>
    <t>15.5</t>
  </si>
  <si>
    <t>15.6</t>
  </si>
  <si>
    <t>14.2</t>
  </si>
  <si>
    <t>7.2</t>
  </si>
  <si>
    <t>INSTALAÇÕES HIDRO-SANITÁRIAS</t>
  </si>
  <si>
    <t>2.1</t>
  </si>
  <si>
    <t>2.2</t>
  </si>
  <si>
    <t>2.3</t>
  </si>
  <si>
    <t>3.3</t>
  </si>
  <si>
    <t>FORROS</t>
  </si>
  <si>
    <t>SISTEMAS CONTRA DESCARGA ATMOSFERICA</t>
  </si>
  <si>
    <t>INSTALAÇÃO DE COMBATE A INCÊNDIO E PÂNICO</t>
  </si>
  <si>
    <t xml:space="preserve">INSTALAÇÕES ELÉTRICAS </t>
  </si>
  <si>
    <t>CABEAMENTO ESTRUTURADO E TELEFÔNICO</t>
  </si>
  <si>
    <t>8.3</t>
  </si>
  <si>
    <t>11.1</t>
  </si>
  <si>
    <t>13.1</t>
  </si>
  <si>
    <t>INSTALAÇÕES DE CLIMATIZAÇÃO</t>
  </si>
  <si>
    <t>16.7</t>
  </si>
  <si>
    <t>m³</t>
  </si>
  <si>
    <t>21.1</t>
  </si>
  <si>
    <t>22.1</t>
  </si>
  <si>
    <t>21.2</t>
  </si>
  <si>
    <t>7.3</t>
  </si>
  <si>
    <t>5.2</t>
  </si>
  <si>
    <t>5.3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</si>
  <si>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</si>
  <si>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</si>
  <si>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</si>
  <si>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</si>
  <si>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</si>
  <si>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</si>
  <si>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</si>
  <si>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</si>
  <si>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</si>
  <si>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</si>
  <si>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</si>
  <si>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</si>
  <si>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</si>
  <si>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</si>
  <si>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</si>
  <si>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</si>
  <si>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</si>
  <si>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</si>
  <si>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</si>
  <si>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</si>
  <si>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</si>
  <si>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</si>
  <si>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TOTAL ITEM (R$)</t>
  </si>
  <si>
    <t>COBERTURA E PROTEÇÕES</t>
  </si>
  <si>
    <t>kg</t>
  </si>
  <si>
    <t>16.8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</si>
  <si>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</si>
  <si>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</si>
  <si>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</si>
  <si>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</si>
  <si>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</si>
  <si>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</si>
  <si>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</si>
  <si>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</si>
  <si>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</si>
  <si>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15.16</t>
  </si>
  <si>
    <t>14.3</t>
  </si>
  <si>
    <t>13.2</t>
  </si>
  <si>
    <t>13.3</t>
  </si>
  <si>
    <t>13.5</t>
  </si>
  <si>
    <t>3.5</t>
  </si>
  <si>
    <t>2.4</t>
  </si>
  <si>
    <t>2.5</t>
  </si>
  <si>
    <t>180 Dias</t>
  </si>
  <si>
    <t>210 Dias</t>
  </si>
  <si>
    <t>16.9</t>
  </si>
  <si>
    <t/>
  </si>
  <si>
    <t>FUNDAÇÕES E SONDAGENS</t>
  </si>
  <si>
    <t>GRAMA ESMERALDA EM PLACAS - FORNECIMENTO E PLANTIO</t>
  </si>
  <si>
    <t>PREÇO UNIT. TOTAL</t>
  </si>
  <si>
    <t>SERVICOS PRELIMINARES/TÉCNICOS</t>
  </si>
  <si>
    <t>SUPERESTRUTURA</t>
  </si>
  <si>
    <t>5.4</t>
  </si>
  <si>
    <t>7.4</t>
  </si>
  <si>
    <t>7.5</t>
  </si>
  <si>
    <t>8.1</t>
  </si>
  <si>
    <t>8.2</t>
  </si>
  <si>
    <t>IMPERMEABILIZAÇÃO</t>
  </si>
  <si>
    <t>6.1</t>
  </si>
  <si>
    <t>6.3</t>
  </si>
  <si>
    <t>4.1</t>
  </si>
  <si>
    <t>4.3</t>
  </si>
  <si>
    <t>4.4</t>
  </si>
  <si>
    <t>4.5</t>
  </si>
  <si>
    <t>8.4</t>
  </si>
  <si>
    <t>8.5</t>
  </si>
  <si>
    <t>8.6</t>
  </si>
  <si>
    <t>14.1</t>
  </si>
  <si>
    <t>GUIA DE CABOS VERTICAL</t>
  </si>
  <si>
    <t>FUSÃO DE CABO ÓPTICO</t>
  </si>
  <si>
    <t>KIT DE VELCRO</t>
  </si>
  <si>
    <t>08211/ORSE</t>
  </si>
  <si>
    <t>12.1</t>
  </si>
  <si>
    <t>12.2</t>
  </si>
  <si>
    <t>13.6</t>
  </si>
  <si>
    <t>17.1</t>
  </si>
  <si>
    <t>17.2</t>
  </si>
  <si>
    <t>17.6</t>
  </si>
  <si>
    <t>17.7</t>
  </si>
  <si>
    <t>ELETROCALHA PERFURADA 100 X 50 X 3000 MM, INCLUSIVE SUPORTES, EMENDAS, TERMINAIS, TAMPAS E CURVAS, FORNECIMENTO E INSTALAÇÃO</t>
  </si>
  <si>
    <t>CABO DE COBRE NU 35MM2, FORNECIMENTO E INSTALAÇÃO</t>
  </si>
  <si>
    <t>CABO DE COBRE NU 50MM2, FORNECIMENTO E INSTALAÇÃO</t>
  </si>
  <si>
    <t>CONECTOR PARAFUSO FENDIDO "SPLIT-BOLT" PARA CABO DE 35MM2, FORNECIMENTO E INSTALAÇÃO</t>
  </si>
  <si>
    <t>12.3</t>
  </si>
  <si>
    <t>12.6</t>
  </si>
  <si>
    <t>12.7</t>
  </si>
  <si>
    <t>12.8</t>
  </si>
  <si>
    <t>21.3</t>
  </si>
  <si>
    <t>21.4</t>
  </si>
  <si>
    <t>21.6</t>
  </si>
  <si>
    <t>21.7</t>
  </si>
  <si>
    <t>ESPELHO CRISTAL ESPESSURA 4MM, COM MOLDURA EM ALUMINIO E COMPENSADO 6MM PLASTIFICADO COLADO</t>
  </si>
  <si>
    <t>ESQUADRIAS METÁLICAS</t>
  </si>
  <si>
    <t>74106/001</t>
  </si>
  <si>
    <t>02259/ORSE</t>
  </si>
  <si>
    <t>COTAÇÃO</t>
  </si>
  <si>
    <t>BARRA DE APOIO PARA DEFICIENTES EM AÇO INOX L=80CM, Ø=1 1/2" - FORNECIMENTO E INSTALAÇÃO</t>
  </si>
  <si>
    <t>08492/ORSE</t>
  </si>
  <si>
    <t>JANELA DE ALUMÍNIO ANODIZADO DE CORRER COMPOSTA POR 3 FOLHAS, ACABAMENTO EM BRANCO BRILHANTE, INCLUSO VIDRO VERDE LAMINADO 6MM - CONFORME PROJETO ARQUITETÔNICO (J01)</t>
  </si>
  <si>
    <t>JANELA DE ALUMÍNIO ANODIZADO DE CORRER COMPOSTA POR 2 FOLHAS, ACABAMENTO EM BRANCO BRILHANTE, INCLUSO VIDRO VERDE LAMINADO 6MM - CONFORME PROJETO ARQUITETÔNICO (J07)</t>
  </si>
  <si>
    <t>ENGATE EM PVC (LIGAÇÃO FLEXÍVEL), 30 CM, ACABAMENTO BRANCO OU SIMILAR</t>
  </si>
  <si>
    <t>03699/ORSE</t>
  </si>
  <si>
    <t>LIMPEZA FINAL DA OBRA</t>
  </si>
  <si>
    <t>03692/ORSE</t>
  </si>
  <si>
    <t>DUCHA HIGIÊNICA COM REGISTRO, LINHA ASPEN, REF. 1984 C35 DA DECA OU SIMILAR</t>
  </si>
  <si>
    <t>TORNEIRA CROMADA PARA LAVATÓRIO, DECA 1170C (DECAMATIC) OU SIMILAR</t>
  </si>
  <si>
    <t>10.1</t>
  </si>
  <si>
    <t>QUANTITAVO</t>
  </si>
  <si>
    <t>1.0</t>
  </si>
  <si>
    <t>2.0</t>
  </si>
  <si>
    <t>3.0</t>
  </si>
  <si>
    <t>4.0</t>
  </si>
  <si>
    <t>5.0</t>
  </si>
  <si>
    <t>6.0</t>
  </si>
  <si>
    <t>6.4</t>
  </si>
  <si>
    <t>7.0</t>
  </si>
  <si>
    <t>8.0</t>
  </si>
  <si>
    <t>9.0</t>
  </si>
  <si>
    <t>10.0</t>
  </si>
  <si>
    <t>11.0</t>
  </si>
  <si>
    <t>12.0</t>
  </si>
  <si>
    <t>13.0</t>
  </si>
  <si>
    <t>14.0</t>
  </si>
  <si>
    <t>15.0</t>
  </si>
  <si>
    <t>16.0</t>
  </si>
  <si>
    <t>17.0</t>
  </si>
  <si>
    <t>18.0</t>
  </si>
  <si>
    <t>19.0</t>
  </si>
  <si>
    <t>20.0</t>
  </si>
  <si>
    <t>22.0</t>
  </si>
  <si>
    <t>SERVIÇOS EM TERRA</t>
  </si>
  <si>
    <t>ORÇAMENTO DETALHADO</t>
  </si>
  <si>
    <t>UNID.</t>
  </si>
  <si>
    <t>19.1</t>
  </si>
  <si>
    <t>19.2</t>
  </si>
  <si>
    <t>ORÇAMENTO SINTETICO</t>
  </si>
  <si>
    <t>07138/ORSE</t>
  </si>
  <si>
    <t>PT</t>
  </si>
  <si>
    <t>72253</t>
  </si>
  <si>
    <t>72254</t>
  </si>
  <si>
    <t>72272</t>
  </si>
  <si>
    <t>Papeleira de louça, DECA A480, 15 x 15cm ou similar</t>
  </si>
  <si>
    <t>Dispenser para toalha interfolhada</t>
  </si>
  <si>
    <t>Saboneteira para sabão líquido</t>
  </si>
  <si>
    <t>M</t>
  </si>
  <si>
    <t>UN</t>
  </si>
  <si>
    <t>17.8</t>
  </si>
  <si>
    <t>17.9</t>
  </si>
  <si>
    <t xml:space="preserve">BDI </t>
  </si>
  <si>
    <t>INSTITUTO FEDERAL DE EDUCAÇÃO, CIÊNCIA E TECNOLOGIA DA PARAÍBA</t>
  </si>
  <si>
    <t>ATERRO MANUAL DE ÁREAS, SEM AQUISIÇÃO DE MATERIAL, COM ESPALHAMENTO E COMPACTAÇÃO</t>
  </si>
  <si>
    <t>LASTRO DE CONCRETO, E = 5 CM, PREPARO MECÂNICO, INCLUSOS LANÇAMENTO E ADENSAMENTO. AF_07_2016</t>
  </si>
  <si>
    <t>FIXAÇÃO (ENCUNHAMENTO) DE ALVENARIA DE VEDAÇÃO COM ARGAMASSA APLICADA COM BISNAGA. AF_03/2016</t>
  </si>
  <si>
    <t>IMPERMEABILIZACAO DE ESTRUTURAS ENTERRADAS, COM TINTA ASFALTICA, DUAS DEMAOS.</t>
  </si>
  <si>
    <t>Calha em alvenaria / concreto, impermeabilizada c/ manta asfáltica</t>
  </si>
  <si>
    <t>EMBOÇO, PARA RECEBIMENTO DE CERÂMICA, EM ARGAMASSA TRAÇO 1:2:8, PREPARO MECÂNICO COM BETONEIRA 400L, APLICADO MANUALMENTE EM FACES INTERNAS DE PAREDES, PARA AMBIENTE COM ÁREA MAIOR QUE 10M2, ESPESSURA DE 20MM, COM EXECUÇÃO DE TALISCAS. AF_06/2014</t>
  </si>
  <si>
    <t>EMBOÇO OU MASSA ÚNICA EM ARGAMASSA TRAÇO 1:2:8, PREPARO MECÂNICO COM BETONEIRA 400 L, APLICADA MANUALMENTE EM PANOS DE FACHADA COM PRESENÇA DE VÃOS, ESPESSURA DE 25 MM. AF_06/2014</t>
  </si>
  <si>
    <t>Revestimento cerâmico para piso ou parede, 34 x 34 cm, Linha Ravena, cor branco brilhante, Elizabeth ou similar, aplicado com argamassa industrializada ac-ii, rejuntado, exclusive regularização de base ou emboço</t>
  </si>
  <si>
    <t>09677/ORSE</t>
  </si>
  <si>
    <t>LASTRO DE CONCRETO, E = 7 CM, PREPARO MECÂNICO, INCLUSOS LANÇAMENTO E ADENSAMENTO. AF_07_2016</t>
  </si>
  <si>
    <t>11308/ORSE</t>
  </si>
  <si>
    <t>11852/ORSE</t>
  </si>
  <si>
    <t>17.3</t>
  </si>
  <si>
    <t>17.5</t>
  </si>
  <si>
    <t>APLICAÇÃO E LIXAMENTO DE MASSA LÁTEX EM TETO, DUAS DEMÃOS. AF_06/2014</t>
  </si>
  <si>
    <t>APLICAÇÃO DE FUNDO SELADOR ACRÍLICO EM PAREDES, UMA DEMÃO. AF_06/2014</t>
  </si>
  <si>
    <t>APLICAÇÃO MANUAL DE PINTURA COM TINTA LÁTEX ACRÍLICA EM PAREDES, DUAS DEMÃOS. AF_06/2014</t>
  </si>
  <si>
    <t>VASO SANITÁRIO SIFONADO COM CAIXA ACOPLADA LOUÇA BRANCA - FORNECIMENTO E INSTALAÇÃO. AF_12/2013</t>
  </si>
  <si>
    <t>PREPARO DE FUNDO DE VALA COM LARGURA MAIOR OU IGUAL A 1,5 M E MENOR QUE 2,5 M, EM LOCAL COM NÍVEL BAIXO DE INTERFERÊNCIA. AF_06/2016</t>
  </si>
  <si>
    <t xml:space="preserve">ARMAÇÃO DE PILAR OU VIGA DE UMA ESTRUTURA CONVENCIONAL DE CONCRETO ARMADO EM UM EDIFÍCIO DE MÚLTIPLOS PAVIMENTOS UTILIZANDO AÇO CA-60 DE 5.0MM - MONTAGEM </t>
  </si>
  <si>
    <t>ARMAÇÃO DE PILAR OU VIGA DE UMA ESTRUTURA CONVENCIONAL DE CONCRETO ARMADO EM UM EDIFÍCIO DE MÚLTIPLOS PAVIMENTOS UTILIZANDO AÇO CA-50 DE 6.3MM - MONTAGEM</t>
  </si>
  <si>
    <t xml:space="preserve">ARMAÇÃO DE PILAR OU VIGA DE UMA ESTRUTURA CONVENCIONAL DE CONCRETO ARMADO EM UM EDIFÍCIO DE MÚLTIPLOS PAVIMENTOS UTILIZANDO AÇO CA-50 DE 8.0MM - MONTAGEM </t>
  </si>
  <si>
    <t xml:space="preserve">ARMAÇÃO DE PILAR OU VIGA DE UMA ESTRUTURA CONVENCIONAL DE CONCRETO ARMADO EM UM EDIFÍCIO DE MÚLTIPLOS PAVIMENTOS UTILIZANDO AÇO CA-50 DE 10.0MM - MONTAGEM </t>
  </si>
  <si>
    <t xml:space="preserve">ARMAÇÃO DE PILAR OU VIGA DE UMA ESTRUTURA CONVENCIONAL DE CONCRETO ARMADO EM UM EDIFÍCIO DE MÚLTIPLOS PAVIMENTOS UTILIZANDO AÇO CA-50 DE 12.5MM - MONTAGEM </t>
  </si>
  <si>
    <t>ARMAÇÃO DE PILAR OU VIGA DE UMA ESTRUTURA CONVENCIONAL DE CONCRETO ARMADO EM UM EDIFÍCIO DE MÚLTIPLOS PAVIMENTOS UTILIZANDO AÇO CA-50 DE 16.0MM - MONTAGEM</t>
  </si>
  <si>
    <t>ARMACAO EM TELA DE ACO SOLDADA NERVURADA Q-92, ACO CA-60, 4,2MM, MALHA 15X15CM</t>
  </si>
  <si>
    <t>LOCACAO CONVENCIONAL DE OBRA, ATRAVÉS DE GABARITO DE TABUAS CORRIDAS PONTALETADA, COM REAPROVEITAMENTO DE 3 VEZES</t>
  </si>
  <si>
    <t>quantitativo de projeto</t>
  </si>
  <si>
    <t>REVESTIMENTO EM CASQUILHO CERÂMICO (CONFORME DET. PROJ. ARQUITETURA), INC.REJUNTE FLEXÍVEL</t>
  </si>
  <si>
    <t>JOELHO 90 GRAUS, PVC, SERIE NORMAL, ESGOTO PREDIAL, DN 50 MM, JUNTA ELÁSTICA, FORNECIDO E INSTALADO EM PRUMADA DE ESGOTO SANITÁRIO OU VENTIL AÇÃO. AF_12/2014</t>
  </si>
  <si>
    <t>JOELHO 90 GRAUS, PVC, SERIE NORMAL, ESGOTO PREDIAL, DN 100 MM, JUNTA ELÁSTICA, FORNECIDO E INSTALADO EM PRUMADA DE ESGOTO SANITÁRIO OU VENTILAÇÃO. AF_12/2014</t>
  </si>
  <si>
    <t>JUNÇÃO SIMPLES, PVC, SERIE NORMAL, ESGOTO PREDIAL, DN 100 X 100 MM, JUNTA ELÁSTICA, FORNECIDO E INSTALADO EM PRUMADA DE ESGOTO SANITÁRIO OU VENTILAÇÃO. AF_12/2014</t>
  </si>
  <si>
    <t>JOELHO 90 GRAUS, PVC, SOLDÁVEL, DN 32MM, INSTALADO EM PRUMADA DE ÁGUA - FORNECIMENTO E INSTALAÇÃO. AF_12/2014</t>
  </si>
  <si>
    <t>JOELHO 90 GRAUS COM BUCHA DE LATÃO, PVC, SOLDÁVEL, DN 25MM, X 1/2 INSTALADO EM RAMAL OU SUB-RAMAL DE ÁGUA - FORNECIMENTO E INSTALAÇÃO. AF_1
2/2014</t>
  </si>
  <si>
    <t>RALO SIFONADO, PVC, DN 100 X 40 MM, JUNTA SOLDÁVEL, FORNECIDO E INSTALADO EM RAMAL DE DESCARGA OU EM RAMAL DE ESGOTO SANITÁRIO. AF_12/2014</t>
  </si>
  <si>
    <t>REGISTRO DE GAVETA BRUTO, LATÃO, ROSCÁVEL, 3/4", COM ACABAMENTO E CANOPLA CROMADOS. FORNECIDO E INSTALADO EM RAMAL DE ÁGUA. AF_12/2014</t>
  </si>
  <si>
    <t>REGISTRO DE PRESSÃO BRUTO, LATÃO, ROSCÁVEL, 3/4", COM ACABAMENTO E CANOPLA CROMADOS. FORNECIDO E INSTALADO EM RAMAL DE ÁGUA. AF_12/2014</t>
  </si>
  <si>
    <t>TE, PVC, SOLDÁVEL, DN 25MM, INSTALADO EM PRUMADA DE ÁGUA - FORNECIMENTO E INSTALAÇÃO. AF_12/2014</t>
  </si>
  <si>
    <t>TE, PVC, SOLDÁVEL, DN 32MM, INSTALADO EM PRUMADA DE ÁGUA - FORNECIMENtO E INSTALAÇÃO. AF_12/2014</t>
  </si>
  <si>
    <t>TÊ COM BUCHA DE LATÃO NA BOLSA CENTRAL, PVC, SOLDÁVEL, DN 25MM X 1/2, INSTALADO EM PRUMADA DE ÁGUA - FORNECIMENTO E INSTALAÇÃO. AF_12/2014</t>
  </si>
  <si>
    <t>01666/ORSE</t>
  </si>
  <si>
    <t>Terminal de ventilação em pvc rígido c/ anéis, para esgoto primário, diâm = 50mm</t>
  </si>
  <si>
    <t>TUBO, PVC, SOLDÁVEL, DN 25MM, INSTALADO EM PRUMADA DE ÁGUA - FORNECIMENTO E INSTALAÇÃO. AF_12/2014</t>
  </si>
  <si>
    <t>TUBO, PVC, SOLDÁVEL, DN 32MM, INSTALADO EM PRUMADA DE ÁGUA - FORNECIMENTO E INSTALAÇÃO. AF_12/2014</t>
  </si>
  <si>
    <t>91926</t>
  </si>
  <si>
    <t>CABO DE COBRE FLEXÍVEL ISOLADO, 2,5 MM², ANTI-CHAMA 450/750 V, PARA CIRCUITOS TERMINAIS - FORNECIMENTO E INSTALAÇÃO</t>
  </si>
  <si>
    <t>91928</t>
  </si>
  <si>
    <t>CABO DE COBRE FLEXÍVEL ISOLADO, 4 MM², ANTI-CHAMA 450/750 V, PARA CIRCUITOS TERMINAIS - FORNECIMENTO E INSTALAÇÃO</t>
  </si>
  <si>
    <t>91930</t>
  </si>
  <si>
    <t>CABO DE COBRE FLEXÍVEL ISOLADO, 6 MM², ANTI-CHAMA 450/750 V, PARA CIRCUITOS TERMINAIS - FORNECIMENTO E INSTALAÇÃO. AF_12/2015</t>
  </si>
  <si>
    <t>ELETRODUTO RÍGIDO ROSCÁVEL, PVC, DN 25 MM (3/4"), PARA CIRCUITOS TERMINAIS, INSTALADO EM PAREDE - FORNECIMENTO E INSTALAÇÃO. AF_12/2015</t>
  </si>
  <si>
    <t>ELETRODUTO RÍGIDO ROSCÁVEL, PVC, DN 32 MM (1"), PARA CIRCUITOS TERMINAIS, INSTALADO EM PAREDE - FORNECIMENTO E INSTALAÇÃO. AF_12/2015</t>
  </si>
  <si>
    <t>ELETRODUTO RÍGIDO ROSCÁVEL, PVC, DN 60 MM (2") - FORNECIMENTO E INSTALAÇÃO. AF_12/2015</t>
  </si>
  <si>
    <t>IFPB.08E</t>
  </si>
  <si>
    <t>PAR DE PONTOS INTERRUPTORES PARALELOS, CABO 2,5MM  COM ELETRODUTO PVC ROSCAVEL 3/4", CURVAS 90G E CAIXA 4X2", FORNECIMENTO E INSTALAÇÃO</t>
  </si>
  <si>
    <t>IFPB.09E</t>
  </si>
  <si>
    <t>PONTO DE LUZ EM TETO OU PAREDE, COM ELETRODUTOS PVC RÍGIDO EMBUTIDO 3/4 E CABO 2,5MM2, FORNECIMENTO E INSTALAÇÃO</t>
  </si>
  <si>
    <t>IFPB.10E</t>
  </si>
  <si>
    <t>PONTO INTERRUPTOR SIMPLES - 1 TECLA EMBUTIDOS, CABO 2,5MM2 COM ELETRODUTO PVC ROSCAVEL 3/4", CURVA 90G E CAIXA 4X2" COM PLACA, FORNECIMENTO E INSTALAÇÃO</t>
  </si>
  <si>
    <t>IFPB.11E</t>
  </si>
  <si>
    <t>PONTO INTERRUPTOR SIMPLES - 2 TECLAS EMBUTIDOS, CABO 2,5MM2 COM ELETRODUTO PVC ROSCAVEL 3/4", CURVA 90G E CAIXA 4X2" COM PLACA, FORNECIMENTO E INSTALAÇÃO</t>
  </si>
  <si>
    <t>IFPB.13E</t>
  </si>
  <si>
    <t>PONTO TOMADA BIPOLAR 2P + T 10A/250V, CABO 2,5MM2 COM ELETRODUTO PVC ROSCAVEL 3/4", CURVA 90G E CAIXA 4X2" COM PLACA, FORNECIMENTO E INSTALAÇÃO</t>
  </si>
  <si>
    <t>IFPB.14E</t>
  </si>
  <si>
    <t>PONTO TOMADA BIPOLAR 2P + T 20A/250V, FIO 4,0MM2 COM ELETRODUTO PVC ROSCAVEL 3/4", CURVA 90G E CAIXA 4X2" COM PLACA, FORNECIMENTO E INSTALAÇÃO</t>
  </si>
  <si>
    <t>IFPB.21E</t>
  </si>
  <si>
    <t>QUADRO DE BARRAMENTO GERAL PARA 300A, EM CHAPA DE AÇO 100 X 60 X 25 CM, CIRCUITO TRIFÁSICO, S/ DISJUNTORES, INCLUSIVE ACRILICO, FORNECIMENTO E INSTALAÇÃO (QUADRO GERAL BLOCO ACADEMICO)</t>
  </si>
  <si>
    <t>CABO DE COBRE FLEXÍVEL ISOLADO, 6 MM², ANTI-CHAMA 0,6/1,0 KV, PARA CIRCUITOS TERMINAIS - FORNECIMENTO E INSTALAÇÃO. AF_12/2015</t>
  </si>
  <si>
    <t>CABO DE COBRE FLEXÍVEL ISOLADO, 16 MM², ANTI-CHAMA 0,6/1,0 KV, PARA DISTRIBUIÇÃO - FORNECIMENTO E INSTALAÇÃO. AF_12/2015</t>
  </si>
  <si>
    <t>CABO DE COBRE FLEXÍVEL ISOLADO, 25 MM², ANTI-CHAMA 0,6/1,0 KV, PARA DISTRIBUIÇÃO - FORNECIMENTO E INSTALAÇÃO. AF_12/2015</t>
  </si>
  <si>
    <t>07746/ORSE</t>
  </si>
  <si>
    <t>Caixa de passagem em aluminio 4' x 2" - Fornecimento e assentamento</t>
  </si>
  <si>
    <t>IFPB.35E</t>
  </si>
  <si>
    <t>DISPOSITIVO DR TETRAPOLAR 40A, FORNECIMENTO E INSTALAÇÃO</t>
  </si>
  <si>
    <t>IFPB.30E</t>
  </si>
  <si>
    <t>00666/ORSE</t>
  </si>
  <si>
    <t>Caixa de passagem 30x30cm em chapa de aço galvanizado - fornecimento</t>
  </si>
  <si>
    <t>93654</t>
  </si>
  <si>
    <t>DISJUNTOR MONOPOLAR TIPO DIN, CORRENTE NOMINAL DE 16A - FORNECIMENTO E INSTALAÇÃO. AF_04/2016</t>
  </si>
  <si>
    <t>93655</t>
  </si>
  <si>
    <t>DISJUNTOR MONOPOLAR TIPO DIN, CORRENTE NOMINAL DE 20A - FORNECIMENTO E INSTALAÇÃO. AF_04/2016</t>
  </si>
  <si>
    <t>93656</t>
  </si>
  <si>
    <t>DISJUNTOR MONOPOLAR TIPO DIN, CORRENTE NOMINAL DE 25A - FORNECIMENTO E INSTALAÇÃO. AF_04/2016</t>
  </si>
  <si>
    <t>93671</t>
  </si>
  <si>
    <t>DISJUNTOR TRIPOLAR TIPO DIN, CORRENTE NOMINAL DE 32A - FORNECIMENTO E INSTALAÇÃO. AF_04/2016</t>
  </si>
  <si>
    <t>93672</t>
  </si>
  <si>
    <t>DISJUNTOR TRIPOLAR TIPO DIN, CORRENTE NOMINAL DE 40A - FORNECIMENTO E INSTALAÇÃO. AF_04/2016</t>
  </si>
  <si>
    <t>09004/ORSE</t>
  </si>
  <si>
    <t>Disjuntor termomagnetico tripolar 80 A, padrão DIN (Europeu - linha branca), curva C, 5KA</t>
  </si>
  <si>
    <t>LUVA PARA ELETRODUTO, PVC, ROSCÁVEL, DN 25 MM (3/4"), PARA CIRCUITOS TERMINAIS, INSTALADA EM PAREDE - FORNECIMENTO E INSTALAÇÃO. AF_12/2015</t>
  </si>
  <si>
    <t>LUVA PARA ELETRODUTO, PVC, ROSCÁVEL, DN 32 MM (1"), PARA CIRCUITOS TERMINAIS, INSTALADA EM PAREDE - FORNECIMENTO E INSTALAÇÃO. AF_12/2015</t>
  </si>
  <si>
    <t>LUVA PARA ELETRODUTO, PVC, ROSCÁVEL, DN 60 MM (2") - FORNECIMENTO E INSTALAÇÃO. AF_12/2015</t>
  </si>
  <si>
    <t>08006/ORSE</t>
  </si>
  <si>
    <t>TERMINAL DE COMPRESSÃO PARA CABO DE 2,50 MM2 - FORNECIMENTO E INSTALAÇÃO</t>
  </si>
  <si>
    <t>08007/ORSE</t>
  </si>
  <si>
    <t>TERMINAL DE COMPRESSÃO PARA CABO DE 4 MM2, FORNECIMENTO E INSTALAÇÃO</t>
  </si>
  <si>
    <t>07925/ORSE</t>
  </si>
  <si>
    <t>TERMINAL DE COMPRESSÃO PARA CABO DE 6 MM2, FORNECIMENTO E INSTALAÇÃO</t>
  </si>
  <si>
    <t>TERMINAL OU CONECTOR DE PRESSAO - PARA CABO 16MM2, FORNECIMENTO E INSTALAÇÃO</t>
  </si>
  <si>
    <t>TERMINAL OU CONECTOR DE PRESSAO - PARA CABO 25MM2, FORNECIMENTO E INSTALAÇÃO</t>
  </si>
  <si>
    <t>CAIXA DE EQUALIZAÇÃO DE POTENCIAIS 400 X 400 X 150MM, INCLUINDO BARRAMENTO E TERMINAIS, FORNECIMENTO E INSTALAÇÃO</t>
  </si>
  <si>
    <t>Fixador tipo Ômega em cobre, l=15mm, c/furos d=5,5mm e trava p/cabo de 35mm², ref:TEL-833 ou similar (p/SPDA)</t>
  </si>
  <si>
    <t>PÁRA-RAIO TIPO FRANKLIN 350MM DUAS DESCIDAS INCLUSIVE FIXAÇÃO, SUPORTE ISOLADOR, MASTRO, SINALIZADOR E BASE, FORNECIMENTO E INSTALAÇÃO</t>
  </si>
  <si>
    <t>PRESILHA DE LATÃO PARA FIXAÇÃO DE CABOS DE COBRE 35MM2 INCLUSIVE PARAFUSO E BUCHA, FORNECIMENTO E INSTALAÇÃO</t>
  </si>
  <si>
    <t>TERMINAL AÉREO H=30CM (CAPTOR VERTICAL) COM BANDEIRA, EM AÇO GALVANIZADO COM BASE, INCLUSIVE PARAFUSOS E BUCHAS PARA FIXAÇÃO, FORNECIMENTO E INSTALAÇÃO</t>
  </si>
  <si>
    <t>CAIXA DE INSPEÇÃO EM CONCRETO PRE-MOLDADO ( 0,30 X 0,30 X 0,40 ) M, COM TAMPA, FORNECIMENTO E INSTALAÇÃO</t>
  </si>
  <si>
    <t>CABO DE COBRE FLEXÍVEL ISOLADO, 16 MM², ANTI-CHAMA 450/750 V, PARA CIRCUITOS TERMINAIS - FORNECIMENTO E INSTALAÇÃO. AF_12/2015</t>
  </si>
  <si>
    <t>FITA METALICA PERFURADA, L = 17 MM, ROLO DE 30 M, CARGA RECOMENDADA = *19* KGF</t>
  </si>
  <si>
    <t>8690/ORSE</t>
  </si>
  <si>
    <t>Cabo de fibra ótica de 6 vias</t>
  </si>
  <si>
    <t>Fornecimento e lançamento de cabo utp 4 pares cat 6</t>
  </si>
  <si>
    <t>IFPB.03E</t>
  </si>
  <si>
    <t>03883/ORSE</t>
  </si>
  <si>
    <t>08581/ORSE</t>
  </si>
  <si>
    <t>06640/ORSE</t>
  </si>
  <si>
    <t>00410</t>
  </si>
  <si>
    <t>Abracadeira de nylon para amarracao de cabos, comprimento de 150 x *3,6* mm</t>
  </si>
  <si>
    <t>11419/ORSE</t>
  </si>
  <si>
    <t>11307/ORSE</t>
  </si>
  <si>
    <t>06639/ORSE</t>
  </si>
  <si>
    <t>Patch cable (Patch cord azul) cat.6 c/1,50m</t>
  </si>
  <si>
    <t>Tubo, pvc, soldável, dn 25mm, instalado em dreno de ar-condicionado - fornecimento e instalação. af_12/2014</t>
  </si>
  <si>
    <t>07289/ORSE</t>
  </si>
  <si>
    <t>Calçada em concreto desempenado, inclusive alvenaria, reboco e aterro</t>
  </si>
  <si>
    <t>14.4</t>
  </si>
  <si>
    <t>14.5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</si>
  <si>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</si>
  <si>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</si>
  <si>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</si>
  <si>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</si>
  <si>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</si>
  <si>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</si>
  <si>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</si>
  <si>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</si>
  <si>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</si>
  <si>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</si>
  <si>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</si>
  <si>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14.18</t>
  </si>
  <si>
    <t>14.20</t>
  </si>
  <si>
    <t>14.21</t>
  </si>
  <si>
    <t>14.22</t>
  </si>
  <si>
    <t>14.23</t>
  </si>
  <si>
    <t>14.24</t>
  </si>
  <si>
    <t>14.25</t>
  </si>
  <si>
    <t>14.27</t>
  </si>
  <si>
    <t>14.28</t>
  </si>
  <si>
    <t>14.29</t>
  </si>
  <si>
    <t>14.30</t>
  </si>
  <si>
    <t>14.31</t>
  </si>
  <si>
    <t>14.32</t>
  </si>
  <si>
    <t>14.33</t>
  </si>
  <si>
    <t>14.34</t>
  </si>
  <si>
    <t>14.35</t>
  </si>
  <si>
    <t>14.36</t>
  </si>
  <si>
    <t>14.37</t>
  </si>
  <si>
    <t>14.38</t>
  </si>
  <si>
    <t>14.39</t>
  </si>
  <si>
    <t>14.40</t>
  </si>
  <si>
    <t>14.41</t>
  </si>
  <si>
    <t>14.42</t>
  </si>
  <si>
    <t>14.43</t>
  </si>
  <si>
    <t>14.44</t>
  </si>
  <si>
    <t>14.45</t>
  </si>
  <si>
    <t>14.46</t>
  </si>
  <si>
    <t>14.47</t>
  </si>
  <si>
    <t>14.48</t>
  </si>
  <si>
    <t>14.49</t>
  </si>
  <si>
    <t>14.50</t>
  </si>
  <si>
    <t>14.51</t>
  </si>
  <si>
    <t>3.2</t>
  </si>
  <si>
    <t>3.4</t>
  </si>
  <si>
    <t>3.6</t>
  </si>
  <si>
    <t>3.7</t>
  </si>
  <si>
    <t>3.8</t>
  </si>
  <si>
    <t>3.9</t>
  </si>
  <si>
    <t>4732/ORSE e 55960</t>
  </si>
  <si>
    <t>MADEIRAMENTO EM MASSARANDUBA/MADEIRA DE LEI, PEÇA SERRADA 6cm x 12cm, P/ TELHA ONDULADA DE FIBROCIMENTO DE 6MM, INCLUSO TRATAMENTO COM CUPINICIDA</t>
  </si>
  <si>
    <t>CHAPISCO APLICADO EM ALVENARIAS E ESTRUTURAS DE CONCRETO INTERNAS, COM COLHER DE PEDREIRO. ARGAMASSA TRAÇO 1:3 COM PREPARO EM BETONEIRA 400L. AF_06/2014</t>
  </si>
  <si>
    <t>MASSA ÚNICA, PARA RECEBIMENTO DE PINTURA, EM ARGAMASSA TRAÇO 1:2:8, PR M2 CR 20,25
EPARO MECÂNICO COM BETONEIRA 400L, APLICADA MANUALMENTE EM FACES INTERNAS DE PAREDES, ESPESSURA DE 20MM, COM EXECUÇÃO DE TALISCAS. AF_06/2014</t>
  </si>
  <si>
    <t>Placa de sinalizacao de seguranca contra incendio, fotoluminescente, retangular, *12 x 40* cm, em pvc *2* mm anti-chamas (simbolos, cores e pictogramas conforme nbr 13434)</t>
  </si>
  <si>
    <t>01655/orse</t>
  </si>
  <si>
    <t>TE, PVC, SERIE NORMAL, ESGOTO PREDIAL, DN 50 X 50 MM, JUNTA ELÁSTICA, FORNECIDO E INSTALADO EM RAMAL DE DESCARGA OU RAMAL DE ESGOTO SANITÁRIO. AF_12/2014</t>
  </si>
  <si>
    <t>Redução excêntrica em pvc rígido c/ anéis, para esgoto primário, diâm = 75 x 50mm</t>
  </si>
  <si>
    <t>Assento plastico, universal, branco, para vaso sanitario, tipo convencional, Incepa ou similar</t>
  </si>
  <si>
    <t>CUBA DE EMBUTIR OVAL EM LOUÇA BRANCA, 35 X 50CM OU EQUIVALENTE - FORNECIMENTO E INSTALAÇÃO. AF_12/2013</t>
  </si>
  <si>
    <t>SIFÃO DO TIPO GARRAFA/COPO EM PVC 1.1/4 X 1.1/2" - FORNECIMENTO E INSTALAÇÃO. AF_12/2013</t>
  </si>
  <si>
    <t>VÁLVULA EM PLÁSTICO 1" PARA PIA, TANQUE OU LAVATÓRIO, COM OU SEM LADRÃO - FORNECIMENTO E INSTALAÇÃO. AF_12/2013</t>
  </si>
  <si>
    <t>Bancada em granito verde ubatuba, e = 2cm</t>
  </si>
  <si>
    <t>11150/ORSE</t>
  </si>
  <si>
    <t>LAVATÓRIO LOUÇA BRANCA SUSPENSO, 29,5 X 39CM OU EQUIVALENTE, PADRÃO POPULAR, INCLUSO SIFÃO TIPO GARRAFA EM PVC, VÁLVULA E ENGATE FLEXÍVEL 30CM EM PLÁSTICO E TORNEIRA CROMADA DE MESA, PADRÃO POPULAR - FORNECIMENTO E INSTALAÇÃO. AF_12/2013</t>
  </si>
  <si>
    <t>MICTORIO SIFONADO DE LOUCA BRANCA COM PERTENCES, COM REGISTRO DE PRESSAO 1/2" COM CANOPLA CROMADA ACABAMENTO SIMPLES E CONJUNTO PARA FIXACAO- FORNECIMENTO E INSTALACAO</t>
  </si>
  <si>
    <t>(COMPOSIÇÃO REPRESENTATIVA) DO SERVIÇO DE ALVENARIA DE VEDAÇÃO DE BLOCOS VAZADOS DE CERÂMICA DE 9X19X19CM (ESPESSURA 9CM), PARA EDIFICAÇÃO HABITACIONAL UNIFAMILIAR (CASA) E EDIFICAÇÃO PÚBLICA PADRÃO. AF_11/2014</t>
  </si>
  <si>
    <t>Kg</t>
  </si>
  <si>
    <t>4.2</t>
  </si>
  <si>
    <t>5.1</t>
  </si>
  <si>
    <t>12.4</t>
  </si>
  <si>
    <t>12.5</t>
  </si>
  <si>
    <t>13.7</t>
  </si>
  <si>
    <t>91914</t>
  </si>
  <si>
    <t>CURVA 90 GRAUS PARA ELETRODUTO, PVC, ROSCÁVEL, DN 25 MM (3/4"), PARA CIRCUITOS TERMINAIS, INSTALADA EM PAREDE - FORNECIMENTO E INSTALAÇÃO. AF_12/2015</t>
  </si>
  <si>
    <t>91917</t>
  </si>
  <si>
    <t>CURVA 90 GRAUS PARA ELETRODUTO, PVC, ROSCÁVEL, DN 32 MM (1"), PARA CIRCUITOS TERMINAIS, INSTALADA EM PAREDE - FORNECIMENTO E INSTALAÇÃO. AF_12/2015</t>
  </si>
  <si>
    <t>93020</t>
  </si>
  <si>
    <t>CURVA 90 GRAUS PARA ELETRODUTO, PVC, ROSCÁVEL, DN 60 MM (2") - FORNECIMENTO E INSTALAÇÃO. AF_12/2015</t>
  </si>
  <si>
    <t>IFPB.23E</t>
  </si>
  <si>
    <t>10091/ORSE</t>
  </si>
  <si>
    <t>IFPB.36E</t>
  </si>
  <si>
    <t>IFPB.38E</t>
  </si>
  <si>
    <t>IFPB.37E</t>
  </si>
  <si>
    <t>IFPB.01E</t>
  </si>
  <si>
    <t>91934</t>
  </si>
  <si>
    <t>14152</t>
  </si>
  <si>
    <t>EXTENSÃO ÓPTICA DUPLEX 62,5/125 CONECTOR SC, 2,5 METROS</t>
  </si>
  <si>
    <t>CERTIFICAÇÃO DE REDE DE CABEAMENTO ESTRUTURADO INCLUINDO ETIQUETAGEM DOS CABOS E PLACAS DE REDE</t>
  </si>
  <si>
    <t>CERTIFICAÇÃO DE REDE ÓPTICA</t>
  </si>
  <si>
    <t>01688/ORSE</t>
  </si>
  <si>
    <t>Parafuso com porca gaiola</t>
  </si>
  <si>
    <t>PATCH CABLE (PATCH CORD AZUL) CAT.6 C/2,5M</t>
  </si>
  <si>
    <t>IFPB.48E</t>
  </si>
  <si>
    <t>CORDÃO ÓPTICO DUPLEX MULTIMODO, FORNECIMENTO E INSTALAÇÃO</t>
  </si>
  <si>
    <t>RÉGUA (FILTRO DE LINHA) COM 8 TOMADAS</t>
  </si>
  <si>
    <t>IFPB.42E</t>
  </si>
  <si>
    <t>SWITCH 48 PORTAS TIPO POE 10/10/1000 GERENCIÁVEL, FORNECIMENTO E INSTALAÇÃO</t>
  </si>
  <si>
    <t>Alvenaria em tijolo cerâmico 1 vez, assentado em argamassa traço 1:2:8 (cimento, cal e areia)</t>
  </si>
  <si>
    <t>IFPB + INCC</t>
  </si>
  <si>
    <t>APLICAÇÃO E LIXAMENTO DE MASSA LÁTEX EM PAREDES, DUAS DEMÃOS. AF_06/2014</t>
  </si>
  <si>
    <t>PINTURA ESMALTE BRILHANTE (2 DEMAOS) SOBRE SUPERFICIE METALICA, INCLUSIVE PROTECAO COM ZARCAO (1 DEMAO)</t>
  </si>
  <si>
    <t xml:space="preserve"> </t>
  </si>
  <si>
    <t>BDI (25,22%)</t>
  </si>
  <si>
    <t>SETEMBRO/2018</t>
  </si>
  <si>
    <t>84191/SINAPI</t>
  </si>
  <si>
    <t>PISO EM GRANILITE, MARMORITE OU GRANITINA ESPESSURA 8 MM, INCLUSO JUNTAS  DE DILATACAO PLASTICAS</t>
  </si>
  <si>
    <t>96995/SINAPI</t>
  </si>
  <si>
    <t>REATERRO MANUAL APILOADO COM SOQUETE. AF_10/2017</t>
  </si>
  <si>
    <t>21.5</t>
  </si>
  <si>
    <t>m²xmês</t>
  </si>
  <si>
    <t xml:space="preserve">04740/ORSE </t>
  </si>
  <si>
    <t>98689/SINAPI</t>
  </si>
  <si>
    <t>SOLEIRA EM GRANITO, LARGURA 15 CM, ESPESSURA 2,0 CM. AF_06/2018</t>
  </si>
  <si>
    <t xml:space="preserve">Extintor de água pressurizada capacidade 10 litros, instalado </t>
  </si>
  <si>
    <t>11369/ORSE</t>
  </si>
  <si>
    <t>Revestimento em casquilho cerâmico (conforme projeto arquitetônico), inclusive rejunte flexível</t>
  </si>
  <si>
    <t>M²</t>
  </si>
  <si>
    <t>Ref</t>
  </si>
  <si>
    <t>Descrição</t>
  </si>
  <si>
    <t>Unid</t>
  </si>
  <si>
    <t>Quant</t>
  </si>
  <si>
    <t>Custo Unit.</t>
  </si>
  <si>
    <t>Custo Total</t>
  </si>
  <si>
    <t xml:space="preserve">Casquillho cerâmico (lâminas de 6cm x 20cm) </t>
  </si>
  <si>
    <t>M2</t>
  </si>
  <si>
    <t>37596 /SINAPI</t>
  </si>
  <si>
    <t xml:space="preserve">Argamassa colante tipo ACIII </t>
  </si>
  <si>
    <t>KG</t>
  </si>
  <si>
    <t>02540/ORSE</t>
  </si>
  <si>
    <t xml:space="preserve">Rejunte colorido flexivel para revestimentos cerâmicos </t>
  </si>
  <si>
    <t>88309/SINAPI</t>
  </si>
  <si>
    <t>Pedreiro com encargos complementares</t>
  </si>
  <si>
    <t>H</t>
  </si>
  <si>
    <t>88316/SINAPI</t>
  </si>
  <si>
    <t>Servente com encargos complementares</t>
  </si>
  <si>
    <t>Lastro de concreto, e = 7cm, preparo mecânico, inclusos lançamento e adensamento</t>
  </si>
  <si>
    <t>92873/SINAPI</t>
  </si>
  <si>
    <t>Lançamento com uso de baldes, adensamento e acabamento de concreto em estruturas. AF_12/2015</t>
  </si>
  <si>
    <t>M3</t>
  </si>
  <si>
    <t>94962/SINAPI</t>
  </si>
  <si>
    <t>Concreto magro para lastro, traço 1:4,5:4,5 (cimento / areia média / brita 1)  - preparo mecânico com betoneira 400 L. AF_07/2016</t>
  </si>
  <si>
    <t>1379/SINAPI</t>
  </si>
  <si>
    <t>Cimento portland composto CPII-32</t>
  </si>
  <si>
    <t>4721/SINAPI</t>
  </si>
  <si>
    <t xml:space="preserve"> Pedra britada N. 1 (9,5 a 19 MM) posto pedreira/fornecedor, sem frete</t>
  </si>
  <si>
    <t>6076/SINAPI</t>
  </si>
  <si>
    <t xml:space="preserve"> Saibro para argamassa (coletado no comércio)</t>
  </si>
  <si>
    <t>7269/SINAPI</t>
  </si>
  <si>
    <t xml:space="preserve"> Bloco cerâmico (alvenaria de vedação), 6 furos, de  9 X 9 X 19 cm</t>
  </si>
  <si>
    <t>370/SINAPI</t>
  </si>
  <si>
    <t>Areia media - posto jazida/fornecedor (retirado na jazida, sem transporte)</t>
  </si>
  <si>
    <t xml:space="preserve">12026/ORSE </t>
  </si>
  <si>
    <t>88267/SINAPI</t>
  </si>
  <si>
    <t>Barra de apoio, para lavatório,fixa, constituida de duas barras laterais em "U", em aço inox, d=1 1/4", Jackwal ou similar</t>
  </si>
  <si>
    <t xml:space="preserve">12128/ORSE </t>
  </si>
  <si>
    <t>cj</t>
  </si>
  <si>
    <t>10234/ORSE</t>
  </si>
  <si>
    <t>IFPB.CIVIL.04</t>
  </si>
  <si>
    <t>7266/SINAPI</t>
  </si>
  <si>
    <t>Bloco cerâmico (alvenaria de vedação), de 9 X 19 X 19 cm</t>
  </si>
  <si>
    <t>MIL</t>
  </si>
  <si>
    <t>87292/SINAPI</t>
  </si>
  <si>
    <t>Argamassa traço 1:2:8 (cimento, cal e areia média) para emboço/massa única/assentamento de alvenaria de vedação, preparo mecânico com betoneira 400L</t>
  </si>
  <si>
    <t>ANDAIME METÁLICO FACHADEIRO - LOCAÇÃO MENSAL, MONTAGEM E DESMONTAGEM</t>
  </si>
  <si>
    <t>RODAPÉ ALTA RESISTENCIA, H = 7 CM</t>
  </si>
  <si>
    <t>14.52</t>
  </si>
  <si>
    <t>14.53</t>
  </si>
  <si>
    <t>Encanador ou bombeiro hidráulicocom encargos complementares</t>
  </si>
  <si>
    <t>10886/SINAPI</t>
  </si>
  <si>
    <t>Extintor de incendio portatil com carga de água pressurizada de 10L, classe A</t>
  </si>
  <si>
    <t>Abrigo para hidrante interno, inclusive caixa embutir chapa ferro n.º 14, dimensões 0.90 x 0.60 x 0.17 m, registro tipo globo 2 1/2", com 02 mangueiras com esguicho e conexões</t>
  </si>
  <si>
    <t>1503/ORSE</t>
  </si>
  <si>
    <t>Chave para engate rápido storz 2 1/2" (incendio)</t>
  </si>
  <si>
    <t xml:space="preserve">06902/ORSE  </t>
  </si>
  <si>
    <t>Tampão em latão com corrente, d= 2 1/2", para engate rápido (incendio)</t>
  </si>
  <si>
    <t xml:space="preserve">07959/ORSE </t>
  </si>
  <si>
    <t>10885/SINAPI</t>
  </si>
  <si>
    <t>Registro ou valvula globo angular em latao, para hidrantes em instalacao predial de incendio, 45 graus, diametro de 2 1/2", com volante, classe de pressao de ate 200 psi</t>
  </si>
  <si>
    <t>20968/SINAPI</t>
  </si>
  <si>
    <t>Esguicho tipo jato solido, em latao, engate rapido 2 1/2" x19 mm, para mangueira em instalacao predial combate a incendio</t>
  </si>
  <si>
    <t>Caixa de incendio/abrigo para mangueira, de embutir/interna, com 90 x 60 x 17 cm, em chapa de aco, porta com ventilacao, visor com a inscricao "incendio", suporte/cesta interna para a mangueira, pintura eletrostatica vermelha</t>
  </si>
  <si>
    <t>20974/SINAPI</t>
  </si>
  <si>
    <t>Uniao tipo storz, com empatacao interna tipo anel de expansao, engate rapido 2 1/2", para mangueira de combate a incendio predial</t>
  </si>
  <si>
    <t>un</t>
  </si>
  <si>
    <t>21034/SINAPI</t>
  </si>
  <si>
    <t>Mangueira de incendio, tipo 2, de 2 1/2", comprimento = 15 m, tecido em fio de poliester e tubo interno em borracha sintetica, com unioes engate rapido</t>
  </si>
  <si>
    <t>21037/SINAPI</t>
  </si>
  <si>
    <t>Mangueira de incendio, tipo 2, de 2 1/2", comprimento = 30 m, tecido em fio de poliester e tubo interno em borracha sintetica, com unioes engate rapido</t>
  </si>
  <si>
    <t>10904/SINAPI</t>
  </si>
  <si>
    <t>37559/SINAPI</t>
  </si>
  <si>
    <t>l</t>
  </si>
  <si>
    <t>h</t>
  </si>
  <si>
    <t>03116/ORSE</t>
  </si>
  <si>
    <t>Cantoneira alumínio anodizado natural, 1" x 1/8" - vara com 6m - 0,408 kg/m</t>
  </si>
  <si>
    <t>11608/ORSE</t>
  </si>
  <si>
    <t>Bancada em granito verde ubatuba, e=2cm, inclusive filete 3cm</t>
  </si>
  <si>
    <t>m2</t>
  </si>
  <si>
    <t>01903/ORSE</t>
  </si>
  <si>
    <t>Argamassa cimento e areia traço t-1 (1:3) - 1 saco cimento 50kg / 3 padiolas areia dim. 0.35 x 0.45 x 0.23 m - Confecção mecânica e transporte</t>
  </si>
  <si>
    <t>m3</t>
  </si>
  <si>
    <t>86888/SINAPI</t>
  </si>
  <si>
    <t>2066/ORSE</t>
  </si>
  <si>
    <t>00377/SINAPI</t>
  </si>
  <si>
    <t>00138/ORSE</t>
  </si>
  <si>
    <t>Adesivo pvc em frasco de 850 gramas</t>
  </si>
  <si>
    <t>02036/ORSE</t>
  </si>
  <si>
    <t>Solucao limpadora pvc</t>
  </si>
  <si>
    <t>2965/ORSE</t>
  </si>
  <si>
    <t>Barra de apoio, reta, fixa, em aço inox, l=80cm, d=1 1/2" - Jackwal ou similar</t>
  </si>
  <si>
    <t>Barra de apoio, reta, fixa, em aço inox, l=80cm, d=1 1/2", Jackwal ou similar</t>
  </si>
  <si>
    <t>12128/ORSE</t>
  </si>
  <si>
    <t>12967/ORSE</t>
  </si>
  <si>
    <t>Barra de apoio para lavatório, constituida de barra lateral em "U", em aço inox, d=1 1/4"</t>
  </si>
  <si>
    <t>02033/ORSE</t>
  </si>
  <si>
    <t>01662/ORSE</t>
  </si>
  <si>
    <t>01906/ORSE</t>
  </si>
  <si>
    <t>Argamassa cimento e areia traço t-4 (1:5) - 1 saco cimento 50kg / 5 padiolas areia dim. 0,35z0,45x0,23m - Confecção mecânica e transporte</t>
  </si>
  <si>
    <t>03358/ORSE</t>
  </si>
  <si>
    <t>Dispenser para toalha de papel interfolhada, em ABS</t>
  </si>
  <si>
    <t>Un</t>
  </si>
  <si>
    <t>4287/ORSE</t>
  </si>
  <si>
    <t>2033/ORSE</t>
  </si>
  <si>
    <t>11758/SINAPI</t>
  </si>
  <si>
    <t>Saboneteira plastica tipo dispenser para sabonete liquido com reservatorio 800 a 1500 ml</t>
  </si>
  <si>
    <t>2051/ORSE</t>
  </si>
  <si>
    <t>Ducha higiênica com registro, linha aspen, ref. 1984 C35 da DECA ou similar</t>
  </si>
  <si>
    <t>00981/ORSE</t>
  </si>
  <si>
    <t>Fita veda rosca 18mm</t>
  </si>
  <si>
    <t>08294/ORSE</t>
  </si>
  <si>
    <t>88496/SINAPI</t>
  </si>
  <si>
    <t>88485/SINAPI</t>
  </si>
  <si>
    <t>88497/SINAPI</t>
  </si>
  <si>
    <t>88489/SINAPI</t>
  </si>
  <si>
    <t>95468/SINAPI</t>
  </si>
  <si>
    <t>86901/SINAPI</t>
  </si>
  <si>
    <t>86942/SINAPI</t>
  </si>
  <si>
    <t>74234/001/SINAPI</t>
  </si>
  <si>
    <t>86882/SINAPI</t>
  </si>
  <si>
    <t>86879/SINAPI</t>
  </si>
  <si>
    <t>89446/SINAPI</t>
  </si>
  <si>
    <t>89447/SINAPI</t>
  </si>
  <si>
    <t>89492/SINAPI</t>
  </si>
  <si>
    <t>90373/SINAPI</t>
  </si>
  <si>
    <t>89709/SINAPI</t>
  </si>
  <si>
    <t>89987/SINAPI</t>
  </si>
  <si>
    <t>89985/SINAPI</t>
  </si>
  <si>
    <t>89617/SINAPI</t>
  </si>
  <si>
    <t>89620/SINAPI</t>
  </si>
  <si>
    <t>89618/SINAPI</t>
  </si>
  <si>
    <t>74125/002/SINAPI</t>
  </si>
  <si>
    <t>02004/ORSE</t>
  </si>
  <si>
    <t>Sanca ou cimalha gesso larg= 6cm, aplicada</t>
  </si>
  <si>
    <t>01774/ORSE</t>
  </si>
  <si>
    <t>Forro de gesso comum, em placas 60x60 cm, instalado sob laje ou cobertura, sem necessidade de estrutura para suporte</t>
  </si>
  <si>
    <t>Forro de gesso comum, em placas 60x60 cm, sob laje ou sob cobertura, sem necessidade de estrutura para suporte, instalado</t>
  </si>
  <si>
    <t>87879/SINAPI</t>
  </si>
  <si>
    <t>87535/SINAPI</t>
  </si>
  <si>
    <t>87775/SINAPI</t>
  </si>
  <si>
    <t>87529/SINAPI</t>
  </si>
  <si>
    <t>Rejunte colorido flexivel para revestimentos cerâmicos</t>
  </si>
  <si>
    <t>02684/ORSE</t>
  </si>
  <si>
    <t>Argamassa industrializada Votomassa AC-II, ou similar</t>
  </si>
  <si>
    <t>10054/ORSE</t>
  </si>
  <si>
    <t>Cerâmica 34 x 34 cm, Elizabeth, linha Ravena, cor Branco brilhante, ou similar</t>
  </si>
  <si>
    <t>04740/ORSE</t>
  </si>
  <si>
    <t>Andaime metálico fachadeiro - locação mensal , montagem e desmontagem</t>
  </si>
  <si>
    <t>Montador de estrutura metálica com encargos complementares</t>
  </si>
  <si>
    <t>88278/SINAPI</t>
  </si>
  <si>
    <t>01978/ORSE</t>
  </si>
  <si>
    <t>Rodape alta resistência, alt= 7cm</t>
  </si>
  <si>
    <t>01379/SINAPI</t>
  </si>
  <si>
    <t>Cimento portland composto cp ii-32</t>
  </si>
  <si>
    <t>Rodapé alta resistência, h = 7 cm</t>
  </si>
  <si>
    <t>89724/SINAPI</t>
  </si>
  <si>
    <t>89801/SINAPI</t>
  </si>
  <si>
    <t>89809/SINAPI</t>
  </si>
  <si>
    <t>89834/SINAPI</t>
  </si>
  <si>
    <t>1.2</t>
  </si>
  <si>
    <t>Barracão aberto para apoio à produção (carpintaria, central de armação, oficina, etc.) c/ tesouras, telha 4mm, piso em concreto desempolado 114,39</t>
  </si>
  <si>
    <t>Total executado</t>
  </si>
  <si>
    <t>Largura</t>
  </si>
  <si>
    <t>comprim</t>
  </si>
  <si>
    <t>Área</t>
  </si>
  <si>
    <t>Bacarrão  a ser construído</t>
  </si>
  <si>
    <t>1.5</t>
  </si>
  <si>
    <t>Locação convencional de obra, através de gabarito de tabuas corridas pontaletadas a cada 1,5m, sem reaproveitamento</t>
  </si>
  <si>
    <t>1.6</t>
  </si>
  <si>
    <t xml:space="preserve">Placa de obra em chapa de aço galvanizado </t>
  </si>
  <si>
    <t>Identificação da obra</t>
  </si>
  <si>
    <t>1.8</t>
  </si>
  <si>
    <t xml:space="preserve">Demolição manual de piso em concreto simples e/ou cimentado </t>
  </si>
  <si>
    <t>1.11</t>
  </si>
  <si>
    <t xml:space="preserve">Tapume de chapa de madeira compensada, e= 6mm, com pintura a cal e reaproveitamento de 2x </t>
  </si>
  <si>
    <t>altura</t>
  </si>
  <si>
    <t>qtd</t>
  </si>
  <si>
    <t>Altura</t>
  </si>
  <si>
    <t>Local</t>
  </si>
  <si>
    <t>und</t>
  </si>
  <si>
    <t>largura</t>
  </si>
  <si>
    <t>Alvenaria e Vedações</t>
  </si>
  <si>
    <t>Alvenaria de vedação de blocos cerâmicos furados na horizontal de 9x19x19 cm (espessura de 9 cm ) de paredes com área líquida maior ou igual a 6m²</t>
  </si>
  <si>
    <t>descontos</t>
  </si>
  <si>
    <t>horizontal</t>
  </si>
  <si>
    <t>wc</t>
  </si>
  <si>
    <t>coordenação</t>
  </si>
  <si>
    <t>escada</t>
  </si>
  <si>
    <t>1º pavimento</t>
  </si>
  <si>
    <t>Platibanda</t>
  </si>
  <si>
    <t>Contravega pré-moldada para vãos de até 1,5m de comprimento</t>
  </si>
  <si>
    <t>Revestimento</t>
  </si>
  <si>
    <t>6.5</t>
  </si>
  <si>
    <t>Beiral</t>
  </si>
  <si>
    <t>Impermeabilização</t>
  </si>
  <si>
    <t>Coberturas e proteções</t>
  </si>
  <si>
    <t>Esquadrias metálicas</t>
  </si>
  <si>
    <t>Vidros</t>
  </si>
  <si>
    <t>Forros</t>
  </si>
  <si>
    <t>21.0</t>
  </si>
  <si>
    <t>Bloco</t>
  </si>
  <si>
    <t>calçada existente</t>
  </si>
  <si>
    <t>Demolição de reboco</t>
  </si>
  <si>
    <t xml:space="preserve">Remoção de portas, de forma manual, sem reaproveitamento. af_12/2017 </t>
  </si>
  <si>
    <t xml:space="preserve">Demolição de alvenaria de bloco cerâmico e=0,09m - revestida </t>
  </si>
  <si>
    <t>Limpeza manual de vegetação em terreno com enxada</t>
  </si>
  <si>
    <t>Demolição de concreto manualmente</t>
  </si>
  <si>
    <t>banheiros</t>
  </si>
  <si>
    <t>bancos</t>
  </si>
  <si>
    <t>pilares</t>
  </si>
  <si>
    <t>vigas</t>
  </si>
  <si>
    <t>Demolição de laje pre-fabricada comum ou em treliça, inclusive capeamento</t>
  </si>
  <si>
    <t>laje banheiros</t>
  </si>
  <si>
    <t>Demolição de madeiramento em coberturas com telhas cerâmicas</t>
  </si>
  <si>
    <t xml:space="preserve">Demolição de divisórias tipo divilux </t>
  </si>
  <si>
    <t>banheiros existentes</t>
  </si>
  <si>
    <t xml:space="preserve">Limpeza final </t>
  </si>
  <si>
    <t>MEMÓRIA DE CÁLCULO CIVIL</t>
  </si>
  <si>
    <t>SERVIÇOS PRELIMINARES</t>
  </si>
  <si>
    <t>Rampa</t>
  </si>
  <si>
    <t>Térreo</t>
  </si>
  <si>
    <t>vertical</t>
  </si>
  <si>
    <t>Wc Térreo</t>
  </si>
  <si>
    <t>paredes horizontais</t>
  </si>
  <si>
    <t>Janela WC</t>
  </si>
  <si>
    <t>Janela Coordenação</t>
  </si>
  <si>
    <t>Demolição de meio-fio granítico ou pre-moldado</t>
  </si>
  <si>
    <t>existentes</t>
  </si>
  <si>
    <t xml:space="preserve"> Demolição de piso cerâmico ou ladrilho</t>
  </si>
  <si>
    <t xml:space="preserve"> Demolição de revestimento cerâmico ou azulejo</t>
  </si>
  <si>
    <t>00298/ORSE com insumos sinapi</t>
  </si>
  <si>
    <t>CUMEEIRA PARA TELHA DE FIBROCIMENTO ONDULADA E = 6 MM, INCLUSO ACESSÓRIOS DE FIXAÇÃO E IÇAMENTO. AF_06/2016</t>
  </si>
  <si>
    <t>TELHAMENTO COM TELHA ONDULADA DE FIBROCIMENTO E = 6 MM, COM RECOBRIMENTO LATERAL DE 1/4 DE ONDA PARA TELHADO COM INCLINAÇÃO MAIOR QUE 10°, COM ATÉ 2 ÁGUAS, INCLUSO IÇAMENTO. AF_06/2016</t>
  </si>
  <si>
    <t>Junta de encontro com superfície existente, preenchida com material compressível (isopor) e mastique de poliuretano MBT, Basf ou similar</t>
  </si>
  <si>
    <t>11672/ORSE com insumos sinapi</t>
  </si>
  <si>
    <t>PROTEÇÃO MECÂNICA DE SUPERFÍCIE HORIZONTAL COM ARGAMASSA DE CIMENTO EAREIA, TRAÇO 1:3, E=2CM. AF_06/2018</t>
  </si>
  <si>
    <t>ARGAMASSA TRACO 1:3 (CIMENTO E AREIA), PREPARO MANUAL, INCLUSO ADITIVO IMPERMEABILIZANTE</t>
  </si>
  <si>
    <t>73548 com adaptação de m3 para m2</t>
  </si>
  <si>
    <t>DIVISORIA EM GRANITO BRANCO POLIDO, ESP = 3CM, ASSENTADO COM ARGAMASSATRACO 1:4, ARREMATE EM CIMENTO BRANCO, EXCLUSIVE FERRAGENS</t>
  </si>
  <si>
    <t>CONCRETAGEM DE VIGAS E LAJES, FCK=30 MPA, PARA LAJES MACIÇAS OU NERVURADAS COM USO DE BOMBA EM EDIFICAÇÃO COM ÁREA MÉDIA DE LAJES MAIOR QUE 20 M² - LANÇAMENTO, ADENSAMENTO E ACABAMENTO. AF_12/2015</t>
  </si>
  <si>
    <t>92726 com adaptação do fck</t>
  </si>
  <si>
    <t>CONCRETAGEM DE PILARES, FCK = 30 MPA, COM USO DE GRUA EM EDIFICAÇÃO COM SEÇÃO MÉDIA DE PILARES MENOR OU IGUAL A 0,25 M² - LANÇAMENTO, ADENSAMENTO E ACABAMENTO. AF_12/2015</t>
  </si>
  <si>
    <t>92719 com adaptação do fck</t>
  </si>
  <si>
    <t>FABRICAÇÃO DE FÔRMA PARA ESCADAS, COM 2 LANCES, EM CHAPA DE MADEIRA COMPENSADA RESINADA, E= 17 MM. AF_01/2017</t>
  </si>
  <si>
    <t>FABRICAÇÃO DE FÔRMA PARA PILARES E ESTRUTURAS SIMILARES, EM CHAPA DE MADEIRA COMPENSADA RESINADA, E = 17 MM. AF_12/2015</t>
  </si>
  <si>
    <t>FABRICAÇÃO DE FÔRMA PARA VIGAS, EM CHAPA DE MADEIRA COMPENSADA RESINADA, E = 17 MM. AF_12/2015</t>
  </si>
  <si>
    <t>CONCRETAGEM DE SAPATAS, FCK 30 MPA, COM USO DE JERICA LANÇAMENTO, ADENSAMENTO E ACABAMENTO. AF_06/2017</t>
  </si>
  <si>
    <t>FABRICAÇÃO, MONTAGEM E DESMONTAGEM DE FÔRMA PARA SAPATA, EM MADEIRA SERRADA, E=25 MM, 4 UTILIZAÇÕES. AF_06/2017</t>
  </si>
  <si>
    <t>COMPOSIÇÕES ORSE COM INSUMOS SINAPI</t>
  </si>
  <si>
    <t>paredes Verticais</t>
  </si>
  <si>
    <t>FIXAÇÃO (ENCUNHAMENTO) DE ALVENARIA DE VEDAÇÃO COM ARGAMASSA APLICADA COM BISNAGA</t>
  </si>
  <si>
    <t>larg</t>
  </si>
  <si>
    <t>Telhado</t>
  </si>
  <si>
    <t>Quantidade</t>
  </si>
  <si>
    <t>Total</t>
  </si>
  <si>
    <t>CONCRETO USINADO BOMBEAVEL, CLASSE DE RESISTENCIA C30, COM BRITA 0 E 1, SLUMP =100 +/- 20 MM, EXCLUI SERVICO DE BOMBEAMENTO (NBR 8953)</t>
  </si>
  <si>
    <t>CARPINTEIRO DE FORMAS COM ENCARGOS COMPLEMENTARES</t>
  </si>
  <si>
    <t>PEDREIRO COM ENCARGOS COMPLEMENTARES</t>
  </si>
  <si>
    <t>SERVENTE COM ENCARGOS COMPLEMENTARES</t>
  </si>
  <si>
    <t>VIBRADOR DE IMERSÃO, DIÂMETRO DE PONTEIRA 45MM, MOTOR ELÉTRICO TRIFÁSICO POTÊNCIA DE 2 CV - CHP DIURNO. AF_06/2015</t>
  </si>
  <si>
    <t>CHP</t>
  </si>
  <si>
    <t>VIBRADOR DE IMERSÃO, DIÂMETRO DE PONTEIRA 45MM, MOTOR ELÉTRICO TRIFÁSICO POTÊNCIA DE 2 CV - CHI DIURNO. AF_06/2015</t>
  </si>
  <si>
    <t>CHI</t>
  </si>
  <si>
    <t>Madeira mista serrada (barrote) 6 x 6cm - 0,0036 m3/m (angelim, louro)</t>
  </si>
  <si>
    <t>01569/ORSE</t>
  </si>
  <si>
    <t>Areia grossa - posto jazida/fornecedor (retirado na jazida,sem transporte)</t>
  </si>
  <si>
    <t>Pedra britada n. 2 (19 a 38 mm) posto pedreira/fornecedor, sem frete</t>
  </si>
  <si>
    <t>Pedra britada n. 1 (9,5 a 19 mm) posto pedreira/fornecedor,sem frete</t>
  </si>
  <si>
    <t>Prego de aco polido com cabeca 18 x 30 (2 3/4 x 10)</t>
  </si>
  <si>
    <t>Tabua de madeira nao aparelhada *2,5 x 23* cm (1 x 9 ") pinus, mista ou equivalente da regiao</t>
  </si>
  <si>
    <t>Aço CA - 50 Ø 6,3 a 12,5mm, inclusive corte, dobragem, montagem e colocacao de ferragens nas formas, para superestruturas e fundações</t>
  </si>
  <si>
    <t xml:space="preserve"> 00140/ORSE</t>
  </si>
  <si>
    <t>Tabua de madeira nao aparelhada *2,5 x 10 cm (1 x 4 ") pinus, mista ou equivalente da regiao</t>
  </si>
  <si>
    <t>Pedreiro  COM ENCARGOS COMPLEMENTARES</t>
  </si>
  <si>
    <t>Isopor-eps f1, anti-chama, e= 25mm</t>
  </si>
  <si>
    <t>08118/ORSE</t>
  </si>
  <si>
    <t>SELANTE ELASTICO MONOCOMPONENTE A BASE DE POLIURETANO PARA JUNTAS DIVERSAS (310ML)</t>
  </si>
  <si>
    <t>L</t>
  </si>
  <si>
    <t>Forma plana para estruturas, em compensado resinado de 12mm, 03 usos, inclusive escoramento - Revisada 07.2015</t>
  </si>
  <si>
    <t>00107/ORSE</t>
  </si>
  <si>
    <t>Concreto simples fabricado na obra, fck=15 mpa, lançado e adensado</t>
  </si>
  <si>
    <t>00126/ORSE</t>
  </si>
  <si>
    <t>00140/ORSE</t>
  </si>
  <si>
    <t>ALVENARIA EM TIJOLO CERAMICO MACICO 5X10X20CM 1 VEZ (ESPESSURA 20CM), ASSENTADO COM ARGAMASSA TRACO 1:2:8 (CIMENTO, CAL E AREIA)</t>
  </si>
  <si>
    <t>Impermeabilização de superfície com manta asfáltica, uma camada, inclusive aplicação de primer asfáltico, e=3mm. af_06/2018</t>
  </si>
  <si>
    <t>1.3</t>
  </si>
  <si>
    <t>1.4</t>
  </si>
  <si>
    <t>1.7</t>
  </si>
  <si>
    <t>1.9</t>
  </si>
  <si>
    <t>1.10</t>
  </si>
  <si>
    <t>1.12</t>
  </si>
  <si>
    <t>1.13</t>
  </si>
  <si>
    <t>00016/ORSE</t>
  </si>
  <si>
    <t>00018/ORSE</t>
  </si>
  <si>
    <t>00006/ORSE</t>
  </si>
  <si>
    <t>00022/ORSE</t>
  </si>
  <si>
    <t>Demolição de revestimento cerâmico ou azulejo</t>
  </si>
  <si>
    <t>00017/ORSE</t>
  </si>
  <si>
    <t>00013/ORSE</t>
  </si>
  <si>
    <t>M³</t>
  </si>
  <si>
    <t>05067/ORSE</t>
  </si>
  <si>
    <t>74077/003/SINAPI</t>
  </si>
  <si>
    <t>02463/ORSE</t>
  </si>
  <si>
    <t>Compressor 250 pcm (atlas copco - xa-120dd - 94,0 hp ou equivalente)</t>
  </si>
  <si>
    <t>02490/ORSE</t>
  </si>
  <si>
    <t>Rompedor 56,0 pcm / 1150 ipm (atlas copco -tex 11 ou equivalente)</t>
  </si>
  <si>
    <t>04720/ORSE</t>
  </si>
  <si>
    <t>Ponteiro de aço</t>
  </si>
  <si>
    <t>00030/ORSE</t>
  </si>
  <si>
    <t>88262/SINAPI</t>
  </si>
  <si>
    <t>Carpinteiro de formas com encargos complementares</t>
  </si>
  <si>
    <t>00023/ORSE</t>
  </si>
  <si>
    <t>97644/SINAPI</t>
  </si>
  <si>
    <t>1.14</t>
  </si>
  <si>
    <t>97645/SINAPI</t>
  </si>
  <si>
    <t xml:space="preserve">98524/SINAPI </t>
  </si>
  <si>
    <t xml:space="preserve">Remoção de janelas, de forma manual, sem reaproveitamento. af_12/2017 </t>
  </si>
  <si>
    <t>Enntrada</t>
  </si>
  <si>
    <t>divisorias</t>
  </si>
  <si>
    <t>94099/SINAPI</t>
  </si>
  <si>
    <t>95241/SINAPI</t>
  </si>
  <si>
    <t>96535/SINAPI</t>
  </si>
  <si>
    <t>92921/SINAPI</t>
  </si>
  <si>
    <t>92759/SINAPI</t>
  </si>
  <si>
    <t>92760/SINAPI</t>
  </si>
  <si>
    <t>92761/SINAPI</t>
  </si>
  <si>
    <t>92762/SINAPI</t>
  </si>
  <si>
    <t>92763/SINAPI</t>
  </si>
  <si>
    <t>92764/SINAPI</t>
  </si>
  <si>
    <t>96556/SINAPI</t>
  </si>
  <si>
    <t>92265/SINAPI</t>
  </si>
  <si>
    <t>92263/SINAPI</t>
  </si>
  <si>
    <t>95935/SINAPI</t>
  </si>
  <si>
    <t xml:space="preserve">Escavação manual de vala ou cava em material de 1ª categoria, profundidade até 1,50m </t>
  </si>
  <si>
    <t>02497/ORSE</t>
  </si>
  <si>
    <t>93197/SINAPI</t>
  </si>
  <si>
    <t>CONTRAVERGA MOLDADA IN LOCO EM CONCRETO PARA VÃOS DE MAIS DE 1,5 M DE COMPRIMENTO. AF_03/2016</t>
  </si>
  <si>
    <t>85662/SINAPI</t>
  </si>
  <si>
    <t>89168/SINAPI</t>
  </si>
  <si>
    <t>79627/SINAPI</t>
  </si>
  <si>
    <t>93200/SINAPI</t>
  </si>
  <si>
    <t>Cinta de amarração de alvenaria moldada in loco em concreto. af_03/2016</t>
  </si>
  <si>
    <t xml:space="preserve">93204/SINAPI </t>
  </si>
  <si>
    <t>WC Térreo</t>
  </si>
  <si>
    <t>92719/ORSE</t>
  </si>
  <si>
    <t>92726/ORSE</t>
  </si>
  <si>
    <t xml:space="preserve">1º pavimento </t>
  </si>
  <si>
    <t>wc térreo</t>
  </si>
  <si>
    <t>Escada</t>
  </si>
  <si>
    <t>area</t>
  </si>
  <si>
    <t>OBRA: 1ª ETAPA DA CONSTRUÇÃO DO BLOCO DE SALAS DE AULA II - CAMPUS CAJAZEIRAS</t>
  </si>
  <si>
    <t>OBRA:  1ª ETAPA DA CONSTRUÇÃO DO BLOCO DE SALAS DE AULA II - CAMPUS CAJAZEIRAS</t>
  </si>
  <si>
    <t>Superestrutura</t>
  </si>
  <si>
    <t>rampa</t>
  </si>
  <si>
    <t xml:space="preserve">wc acessível </t>
  </si>
  <si>
    <t>perim</t>
  </si>
  <si>
    <t>wc térreo acessível</t>
  </si>
  <si>
    <t>Circulação wcs térreo</t>
  </si>
  <si>
    <t>CHAPISCO APLICADO EM ALVENARIA (COM PRESENÇA DE VÃOS) E ESTRUTURAS DE M2 CR 5,37
CONCRETO DE FACHADA, COM COLHER DE PEDREIRO. ARGAMASSA TRAÇO 1:3 COM
PREPARO MANUAL. AF_06/2014</t>
  </si>
  <si>
    <t>87905/SINAPI</t>
  </si>
  <si>
    <t xml:space="preserve">Fachadas </t>
  </si>
  <si>
    <t xml:space="preserve">Pilares </t>
  </si>
  <si>
    <t xml:space="preserve">Rampa </t>
  </si>
  <si>
    <t>Guarda corpo</t>
  </si>
  <si>
    <t>CHAPISCO APLICADO EM ALVENARIA (COM PRESENÇA DE VÃOS) E ESTRUTURAS DE CONCRETO DE FACHADA, COM COLHER DE PEDREIRO. ARGAMASSA TRAÇO 1:3 COM PREPARO EM BETONEIRA 400L. AF_06/2014</t>
  </si>
  <si>
    <t xml:space="preserve">Salas </t>
  </si>
  <si>
    <t>Coordenação</t>
  </si>
  <si>
    <t xml:space="preserve">wc </t>
  </si>
  <si>
    <t>wc térreo parede</t>
  </si>
  <si>
    <t>wc térreo acessível parede</t>
  </si>
  <si>
    <t>wc térreo piso</t>
  </si>
  <si>
    <t>wc térreo acessível piso</t>
  </si>
  <si>
    <t xml:space="preserve">02499/ORSE </t>
  </si>
  <si>
    <t xml:space="preserve">Escavação manual de vala ou cava em material de 2ª categoria, profundidade até 1,50m </t>
  </si>
  <si>
    <t>Escavação manual de vala ou cava em material de 3ª categoria, profundidade até 2,00 m, com uso de explosivos e perfuração mecânica</t>
  </si>
  <si>
    <t xml:space="preserve">04502/ORSE </t>
  </si>
  <si>
    <t>01045/ORSE</t>
  </si>
  <si>
    <t>Explosivo gelatinoso dinamite 40% (comprimento = 8" / diâmetro da seção = 1")</t>
  </si>
  <si>
    <t>02479/ORSE</t>
  </si>
  <si>
    <t>Perfuratriz (atlas copco -rh 571 5l)</t>
  </si>
  <si>
    <t>02759/SINAPI</t>
  </si>
  <si>
    <t>Espoleta simples n 8.</t>
  </si>
  <si>
    <t>02762/SINAPI</t>
  </si>
  <si>
    <t>Estopim simples</t>
  </si>
  <si>
    <t>04500/ORSE</t>
  </si>
  <si>
    <t>Série de brocas integrais - Série 11</t>
  </si>
  <si>
    <t>Cj</t>
  </si>
  <si>
    <t xml:space="preserve">95467/SINAPI </t>
  </si>
  <si>
    <t xml:space="preserve">Embasamento c/pedra argamassada utilizando arg.cim/areia 1:4 </t>
  </si>
  <si>
    <t>VIGAS</t>
  </si>
  <si>
    <t>LAJE</t>
  </si>
  <si>
    <t>PILARES</t>
  </si>
  <si>
    <t>ESCADAS</t>
  </si>
  <si>
    <t xml:space="preserve">09458/ORSE </t>
  </si>
  <si>
    <t>Laje pré-fabricada treliçada para piso ou cobertura, intereixo 38cm, h=21cm, el. enchimento em EPS h=16cm, inclusive escoramento em madeira e capeamento 4cm.</t>
  </si>
  <si>
    <t>Laje pré-fabricada treliçada para piso ou cobertura, h=21cm, el. enchimento em bloco EPS, h=16cm</t>
  </si>
  <si>
    <t xml:space="preserve">02180/ORSE </t>
  </si>
  <si>
    <t xml:space="preserve">Regularização de base para revest. de pisos com arg. traço t4, esp. média = 2,5cm </t>
  </si>
  <si>
    <t>Salas</t>
  </si>
  <si>
    <t>Circulação</t>
  </si>
  <si>
    <t>wc acessível</t>
  </si>
  <si>
    <t>(contrapiso) LASTRO DE CONCRETO, E = 7 CM, PREPARO MECÂNICO, INCLUSOS LANÇAMENTO E ADENSAMENTO. AF_07_2016</t>
  </si>
  <si>
    <t>Calçada do entorno</t>
  </si>
  <si>
    <t>13.4</t>
  </si>
  <si>
    <t>circulação</t>
  </si>
  <si>
    <t>Portas</t>
  </si>
  <si>
    <t>comp</t>
  </si>
  <si>
    <t>EXTERNA</t>
  </si>
  <si>
    <t>Fachadas</t>
  </si>
  <si>
    <t>20.1</t>
  </si>
  <si>
    <t>20.2</t>
  </si>
  <si>
    <t>20.3</t>
  </si>
  <si>
    <t>88486/SINAPI</t>
  </si>
  <si>
    <t>APLICAÇÃO MANUAL DE PINTURA COM TINTA LÁTEX PVA EM TETO, DUAS DEMÃOS.
AF_06/2014</t>
  </si>
  <si>
    <t>88483/SINAPI</t>
  </si>
  <si>
    <t>INTERNA</t>
  </si>
  <si>
    <t xml:space="preserve"> APLICAÇÃO DE FUNDO SELADOR LÁTEX PVA EM PAREDES, UMA DEMÃO. AF_06/2014</t>
  </si>
  <si>
    <t>88487/SINAPI</t>
  </si>
  <si>
    <t>CORRIMÃOS</t>
  </si>
  <si>
    <t>TÊ, EM FERRO GALVANIZADO, CONEXÃO ROSQUEADA, DN 65 (2 1/2"), INSTALADO EM REDE DE ALIMENTAÇÃO PARA HIDRANTE - FORNECIMENTO E INSTALAÇÃO. AF_12/2015</t>
  </si>
  <si>
    <t>TUBO DE AÇO GALVANIZADO COM COSTURA, CLASSE MÉDIA, CONEXÃO RANHURADA, DN 65 (2 1/2"), INSTALADO EM PRUMADAS - FORNECIMENTO E INSTALAÇÃO. AF_12/2015</t>
  </si>
  <si>
    <t>NIPLE, EM FERRO GALVANIZADO, DN 65 (2 1/2"), CONEXÃO ROSQUEADA, INSTALADO EM PRUMADAS - FORNECIMENTO E INSTALAÇÃO. AF_12/2015</t>
  </si>
  <si>
    <t>JOELHO 90 GRAUS, EM FERRO GALVANIZADO, DN 65 (2 1/2"), CONEXÃO ROSQUEADA, INSTALADO EM REDE DE ALIMENTAÇÃO PARA HIDRANTE - FORNECIMENTO E INSTALAÇÃO. AF_12/2015</t>
  </si>
  <si>
    <t>EXTINTOR DE PQS 4KG - FORNECIMENTO E INSTALACAO</t>
  </si>
  <si>
    <t>EXTINTOR DE CO2 6KG - FORNECIMENTO E INSTALACAO</t>
  </si>
  <si>
    <t>LUMINÁRIA DE EMERGÊNCIA - FORNECIMENTO E INSTALAÇÃO. AF_11/2017</t>
  </si>
  <si>
    <t>ABRIGO PARA HIDRANTE, 75X45X17CM, COM REGISTRO GLOBO ANGULAR 45º 2.1/2", ADAPTADOR STORZ 2.1/2", 2 MANGUEIRAS DE INCÊNDIO 15M, REDUÇÃO 2.1/2X1.1/2" E ESGUICHO EM LATÃO 1.1/2" - FORNECIMENTO E INSTALAÇÃO</t>
  </si>
  <si>
    <t>17.4</t>
  </si>
  <si>
    <t>92336/SINAPI</t>
  </si>
  <si>
    <t>92346/SINAPI</t>
  </si>
  <si>
    <t>92390/SINAPI</t>
  </si>
  <si>
    <t>72553/SINAPI</t>
  </si>
  <si>
    <t>72554/SINAPI</t>
  </si>
  <si>
    <t>ADAPTADO 72283/SINAPI</t>
  </si>
  <si>
    <t>IFPB.INCENDIO.01</t>
  </si>
  <si>
    <t>CAIXA DE INCENDIO/ABRIGO PARA MANGUEIRA, DE EMBUTIR/INTERNA, COM 75 X 45 X 17 CM, EM CHAPA DE ACO, PORTA COM VENTILACAO, VISOR COM A INSCRICAO "INCENDIO", SUPORTE/CESTA INTERNA PARA A MANGUEIRA, PINTURA ELETROSTATICA VERMELHA</t>
  </si>
  <si>
    <t>ADAPTADOR, EM LATAO, ENGATE RAPIDO 2 1/2" X ROSCA INTERNA 5 FIOS 2 1/2",  PARA INSTALACAO PREDIAL DE COMBATE A INCENDIO</t>
  </si>
  <si>
    <t>ESGUICHO TIPO JATO SOLIDO, EM LATAO, ENGATE RAPIDO 1 1/2" X 13 MM, PARA MANGUEIRA EM INSTALACAO PREDIAL COMBATE A INCENDIO</t>
  </si>
  <si>
    <t>REGISTRO OU VALVULA GLOBO ANGULAR EM LATAO, PARA HIDRANTES EM INSTALACAO PREDIAL DE INCENDIO, 45 GRAUS, DIAMETRO DE 2 1/2", COM VOLANTE, CLASSE DE PRESSAO DE ATE 200 PSI</t>
  </si>
  <si>
    <t>REDUCAO FIXA TIPO STORZ, ENGATE RAPIDO 2.1/2" X 1.1/2", EM LATAO, PARA INSTALACAO PREDIAL COMBATE A INCENDIO PREDIAL</t>
  </si>
  <si>
    <t>MANGUEIRA DE INCENDIO, TIPO 1, DE 1 1/2", COMPRIMENTO = 15 M, TECIDO EM FIO DE POLIESTER E TUBO INTERNO EM BORRACHA SINTETICA, COM UNIOES ENGATE RAPIDO</t>
  </si>
  <si>
    <t>ENCANADOR OU BOMBEIRO HIDRÁULICO COM ENCARGOS COMPLEMENTARES</t>
  </si>
  <si>
    <t>10899/SINAPI</t>
  </si>
  <si>
    <t>10902/SINAPI</t>
  </si>
  <si>
    <t>20972/SINAPI</t>
  </si>
  <si>
    <t>21029/SINAPI</t>
  </si>
  <si>
    <t>20.4</t>
  </si>
  <si>
    <t>20.5</t>
  </si>
  <si>
    <t>20.6</t>
  </si>
  <si>
    <t>20.7</t>
  </si>
  <si>
    <t xml:space="preserve"> APLICAÇÃO MANUAL DE PINTURA COM TINTA LÁTEX PVA EM PAREDES, DUAS DEMÃO M2 CR 7,90
S. AF_06/2014</t>
  </si>
  <si>
    <t>20.8</t>
  </si>
  <si>
    <t>Pilares circulação</t>
  </si>
  <si>
    <t>face externa pilares</t>
  </si>
  <si>
    <t>96131/SINAPI</t>
  </si>
  <si>
    <t>APLICAÇÃO MANUAL DE MASSA ACRÍLICA EM PANOS DE FACHADA COM PRESENÇA DE VÃOS, DE EDIFÍCIOS DE MÚLTIPLOS PAVIMENTOS, DUAS DEMÃOS. AF_05/2017</t>
  </si>
  <si>
    <t>20.9</t>
  </si>
  <si>
    <t>APLICAÇÃO MANUAL DE PINTURA COM TINTA LÁTEX PVA EM PAREDES, DUAS DEMÃOS. AF_06/2014</t>
  </si>
  <si>
    <t>qt</t>
  </si>
  <si>
    <t>diametro</t>
  </si>
  <si>
    <t>Corrimão rampa</t>
  </si>
  <si>
    <t>Corrimão escada</t>
  </si>
  <si>
    <t>74209/001/SINAPI</t>
  </si>
  <si>
    <t>9537/SINAPI</t>
  </si>
  <si>
    <t>PLACA DE OBRA EM CHAPA DE ACO GALVANIZADO M2 AS 309,47</t>
  </si>
  <si>
    <t>11703/ORSE</t>
  </si>
  <si>
    <t xml:space="preserve">Barracão aberto para apoio à produção (carpintaria, central de armação, oficina, etc.) c/ tesouras, telha 4mm, piso em concreto desempolado </t>
  </si>
  <si>
    <t>IFPB.CIVIL.01</t>
  </si>
  <si>
    <t>IFPB.CIVIL.02</t>
  </si>
  <si>
    <t>IFPB.CIVIL.03</t>
  </si>
  <si>
    <t>COMPOSIÇÃO IFPB.CIVIL.02</t>
  </si>
  <si>
    <t>COMPOSIÇÃO IFPB.CIVIL.03</t>
  </si>
  <si>
    <t>COMPOSIÇÃO IFPB.CIVIL.04</t>
  </si>
  <si>
    <t>89784/SINAPI</t>
  </si>
  <si>
    <t>Tapume de chapa de madeira compensada, e= 6mm, com pintura a cal e reaproveitamento de 2x</t>
  </si>
  <si>
    <t>74220/001/SINAPI</t>
  </si>
  <si>
    <t xml:space="preserve"> Corrimão duplo em tubo de ferro galvanizado 1 1/2", com chumbadores para fixação em alvenaria</t>
  </si>
  <si>
    <t>12188/ORSE</t>
  </si>
  <si>
    <t>10997/SINAPI</t>
  </si>
  <si>
    <t>Eletrodo revestido aws - e7018, diametro igual a 4,00 mm</t>
  </si>
  <si>
    <t>21012/SINAPI</t>
  </si>
  <si>
    <t>Tubo aco galvanizado com costura, classe leve, dn 40 mm ( 11/2"), e = 3,00 mm, *3,48* kg/m (nbr 5580)</t>
  </si>
  <si>
    <t>88315/SINAPI</t>
  </si>
  <si>
    <t>Serralheiro com encargos complementares</t>
  </si>
  <si>
    <t>Soldador com encargos complementares</t>
  </si>
  <si>
    <t>88317/SINAPI</t>
  </si>
  <si>
    <t>Corrimão duplo em tubo de ferro galvanizado 1 1/2", com chumbadores para fixação em alvenaria</t>
  </si>
  <si>
    <t>Adubo orgânico bovino, cacau ou similar</t>
  </si>
  <si>
    <t>02208/ORSE</t>
  </si>
  <si>
    <t>Terra vegetal</t>
  </si>
  <si>
    <t>03800/ORSE</t>
  </si>
  <si>
    <t>Adubo mineral NPK (10-10-10)</t>
  </si>
  <si>
    <t>11005/ORSE</t>
  </si>
  <si>
    <t>Grama esmeralda em placas</t>
  </si>
  <si>
    <t>88441/SINAPI</t>
  </si>
  <si>
    <t>Jardineiro com encargos complementares</t>
  </si>
  <si>
    <t>Reparos</t>
  </si>
  <si>
    <t>94223/SINAPI</t>
  </si>
  <si>
    <t>94207/SINAPI</t>
  </si>
  <si>
    <t>WC</t>
  </si>
  <si>
    <t>Vaso sanitário convencional p/deficientes físicos, linha conforto vogue plus P51, DECA ou similar, c/assento DECA conforto AP52 ou similar, cj.de fixação DECA SP13 ou similar, anel vedação, tubo ligação cromado, engate plástico, exceto cx. Descarga</t>
  </si>
  <si>
    <t>WC acessível</t>
  </si>
  <si>
    <t>SAPATAS E BLOCOS</t>
  </si>
  <si>
    <t>11.2</t>
  </si>
  <si>
    <t>11.3</t>
  </si>
  <si>
    <t>11.4</t>
  </si>
  <si>
    <t>11.5</t>
  </si>
  <si>
    <t>11.6</t>
  </si>
  <si>
    <t>11.7</t>
  </si>
  <si>
    <t>11.8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</si>
  <si>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</si>
  <si>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</si>
  <si>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</si>
  <si>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</si>
  <si>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</si>
  <si>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</si>
  <si>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</si>
  <si>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</si>
  <si>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</si>
  <si>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</si>
  <si>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</si>
  <si>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</si>
  <si>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</si>
  <si>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</si>
  <si>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</si>
  <si>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</si>
  <si>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</si>
  <si>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13.25</t>
  </si>
  <si>
    <t>13.26</t>
  </si>
  <si>
    <t>13.27</t>
  </si>
  <si>
    <t>13.28</t>
  </si>
  <si>
    <t>13.29</t>
  </si>
  <si>
    <t>13.30</t>
  </si>
  <si>
    <t>13.31</t>
  </si>
  <si>
    <t>13.32</t>
  </si>
  <si>
    <t>13.33</t>
  </si>
  <si>
    <t>13.34</t>
  </si>
  <si>
    <t>13.35</t>
  </si>
  <si>
    <t>13.36</t>
  </si>
  <si>
    <t>13.37</t>
  </si>
  <si>
    <t>13.38</t>
  </si>
  <si>
    <t>13.39</t>
  </si>
  <si>
    <t>13.40</t>
  </si>
  <si>
    <t>13.41</t>
  </si>
  <si>
    <t>13.42</t>
  </si>
  <si>
    <t>13.43</t>
  </si>
  <si>
    <t>13.44</t>
  </si>
  <si>
    <t>13.45</t>
  </si>
  <si>
    <t>13.46</t>
  </si>
  <si>
    <t>14.17</t>
  </si>
  <si>
    <t>14.19</t>
  </si>
  <si>
    <t>14.26</t>
  </si>
  <si>
    <t>14.54</t>
  </si>
  <si>
    <t>14.55</t>
  </si>
  <si>
    <t>14.56</t>
  </si>
  <si>
    <t>14.57</t>
  </si>
  <si>
    <t>14.58</t>
  </si>
  <si>
    <t>14.59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</si>
  <si>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</si>
  <si>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</si>
  <si>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</si>
  <si>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</si>
  <si>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</si>
  <si>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</si>
  <si>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</si>
  <si>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</si>
  <si>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17.18</t>
  </si>
  <si>
    <t>17.19</t>
  </si>
  <si>
    <t>17.20</t>
  </si>
  <si>
    <t>17.21</t>
  </si>
  <si>
    <t>17.22</t>
  </si>
  <si>
    <t>17.23</t>
  </si>
  <si>
    <t>17.24</t>
  </si>
  <si>
    <t>17.25</t>
  </si>
  <si>
    <t>19.3</t>
  </si>
  <si>
    <t>19.4</t>
  </si>
  <si>
    <t>19.5</t>
  </si>
  <si>
    <t>19.6</t>
  </si>
  <si>
    <t>19.7</t>
  </si>
  <si>
    <t>19.8</t>
  </si>
  <si>
    <t>19.9</t>
  </si>
  <si>
    <t>20.10</t>
  </si>
  <si>
    <t>20.11</t>
  </si>
  <si>
    <t>20.12</t>
  </si>
  <si>
    <t>20.13</t>
  </si>
  <si>
    <t>20.14</t>
  </si>
  <si>
    <t>20.15</t>
  </si>
  <si>
    <t>20.16</t>
  </si>
  <si>
    <t>ADMINISTRAÇÃO DA OBRA</t>
  </si>
  <si>
    <t>Barra de apoio, para lavatório,fixa, constituida de duas barras laterais em "U", em aço inox, d=1 1/4", Jackwal ou similaR</t>
  </si>
  <si>
    <t>Torneira cromada para lavatório, DECA 1170C (Decamatic) ou similar</t>
  </si>
  <si>
    <t>02696/SINAPI</t>
  </si>
  <si>
    <t>02747/ORSE</t>
  </si>
  <si>
    <t>Torneira cromada para lavatório, DECA 1173C (Decamatic Eco) ou similar</t>
  </si>
  <si>
    <t>Encanador ou bombeiro hidraulico  com encargos complementares</t>
  </si>
  <si>
    <t>Engate em PVC (ligação flexível), AKROS, 30 cm, acabamento branco ou similar</t>
  </si>
  <si>
    <t xml:space="preserve">03699/ORSE </t>
  </si>
  <si>
    <t>06141/SINAPI</t>
  </si>
  <si>
    <t>Engate/rabicho flexivel plastico (pvc ou abs) branco 1/2 " x 30 cm</t>
  </si>
  <si>
    <t>02624/ORSE</t>
  </si>
  <si>
    <t xml:space="preserve">Remoção e reposição de meio-fio </t>
  </si>
  <si>
    <t>Carga manual de entulho em caminhao basculante 6 m3</t>
  </si>
  <si>
    <t xml:space="preserve">2897/SINAPI </t>
  </si>
  <si>
    <t>volume</t>
  </si>
  <si>
    <t xml:space="preserve">banheiros contrapiso </t>
  </si>
  <si>
    <t>banheiros piso</t>
  </si>
  <si>
    <t>banheiros alvenaria</t>
  </si>
  <si>
    <t>bancos alvenaria</t>
  </si>
  <si>
    <t>compr</t>
  </si>
  <si>
    <t>pilares concreto</t>
  </si>
  <si>
    <t>vigas concreto</t>
  </si>
  <si>
    <t>banheiros divisórias</t>
  </si>
  <si>
    <t>meio fio existentes</t>
  </si>
  <si>
    <t>espessura</t>
  </si>
  <si>
    <t>Escada piso</t>
  </si>
  <si>
    <t>escada rodapé</t>
  </si>
  <si>
    <t>00304/ORSE com insumos sinapi</t>
  </si>
  <si>
    <t>Rufo de concreto armado fck=20mpa l=30cm e h=5cm</t>
  </si>
  <si>
    <t>01935/ORSE</t>
  </si>
  <si>
    <t>Revestimento para piso ou parede em granito verde ubatuba, e=2cm, aplicado com argamassa industrializada ac-ii, rejuntado, exclusive emboço</t>
  </si>
  <si>
    <t xml:space="preserve">comp </t>
  </si>
  <si>
    <t>01071/ORSE</t>
  </si>
  <si>
    <t>Granito verde ubatuba polido esp=2cm</t>
  </si>
  <si>
    <t>01380/SINAPI</t>
  </si>
  <si>
    <t>Cimento branco</t>
  </si>
  <si>
    <t>03407/ORSE</t>
  </si>
  <si>
    <t>Argamassa industrializada AC-II, Votomassa ou similar</t>
  </si>
  <si>
    <t>Arame recozido 18 bwg, 1,25 mm (0,01 kg/m)</t>
  </si>
  <si>
    <t>Pedreiro COM ENCARGOS COMPLEMENTARES</t>
  </si>
  <si>
    <t>00304/ORSE</t>
  </si>
  <si>
    <t>298/ORSE</t>
  </si>
  <si>
    <t>telhado rampa</t>
  </si>
  <si>
    <t>Telhado bloco</t>
  </si>
  <si>
    <t xml:space="preserve">Circulação wc </t>
  </si>
  <si>
    <t>platibanda 2 lados + viga</t>
  </si>
  <si>
    <t>Pilares  circulação</t>
  </si>
  <si>
    <t>WC Térreo P4</t>
  </si>
  <si>
    <t>Térreo P1</t>
  </si>
  <si>
    <t>1º pavimento P1</t>
  </si>
  <si>
    <t>WC  AcessivelTérreo P2</t>
  </si>
  <si>
    <t>WCTérreo P3</t>
  </si>
  <si>
    <t>PORTA DE ALUMÍNIO ANODIZADO (0,86 X 1,80) DE ABRIR  COM 1 FOLHA MÓVEL, PREENCHIMENTO TIPO VENEZIANA SEM VENTILAÇÃO, INCLUSIVE CAIXILHO DO MESMO MATERIAL, FERRAGENS E PUXADORES EM INOX - CONFORME PROJETO ARQUITETÔNICO (P05)</t>
  </si>
  <si>
    <t>PORTA DE ALUMÍNIO ANODIZADO (0,90 X 1,80) DE ABRIR  COM 1 FOLHA MÓVEL, PREENCHIMENTO TIPO VENEZIANA SEM VENTILAÇÃO, INCLUSIVE CAIXILHO DO MESMO MATERIAL, FERRAGENS E PUXADORES EM INOX - CONFORME PROJETO ARQUITETÔNICO (P04)</t>
  </si>
  <si>
    <t>PORTA DE ALUMÍNIO ANODIZADO (0,96 x 2,80) DE ABRIR  COM 1 FOLHA MÓVEL, PREENCHIMENTO TIPO VENEZIANA SEM VENTILAÇÃO, COM PUXADOR HORIZONTAL ASSOCIADO A MAÇANETA,  INCLUSIVE CAIXILHO DO MESMO MATERIAL, FERRAGENS E PUXADORES EM INOX - CONFORME PROJETO ARQUITETÔNICO (P02)</t>
  </si>
  <si>
    <t>PORTA DE ALUMÍNIO ANODIZADO (0,96 X 2,80) DE ABRIR  COM 1 FOLHA MÓVEL, PREENCHIMENTO TIPO VENEZIANA SEM VENTILAÇÃO, INCLUSIVE CAIXILHO DO MESMO MATERIAL, FERRAGENS E PUXADORES EM INOX - CONFORME PROJETO ARQUITETÔNICO (P03)</t>
  </si>
  <si>
    <t>PORTA DE ALUMÍNIO ANODIZADO (0,96 X 2,80) DE ABRIR  COM 1 FOLHA MÓVEL, PREENCHIMENTO TIPO VENEZIANA E VIDRO LAMINADO 6MM, INCLUSIVE CAIXILHO DO MESMO MATERIAL, FERRAGENS E PUXADORES EM INOX - CONFORME PROJETO ARQUITETÔNICO (P01)</t>
  </si>
  <si>
    <t>89355/SINAPI</t>
  </si>
  <si>
    <t>TUBO, PVC, SOLDÁVEL, DN 20MM, INSTALADO EM RAMAL OU SUB-RAMAL DE ÁGUA - FORNECIMENTO E INSTALAÇÃO. AF_12/2014</t>
  </si>
  <si>
    <t>89362/SINAPI</t>
  </si>
  <si>
    <t>JOELHO 90 GRAUS, PVC, SOLDÁVEL, DN 25MM, INSTALADO EM RAMAL OU SUB-RAMAL DE ÁGUA - FORNECIMENTO E INSTALAÇÃO. AF_12/2014</t>
  </si>
  <si>
    <t>Ramal de elétrica</t>
  </si>
  <si>
    <t>89534/SINAPI</t>
  </si>
  <si>
    <t>LUVA SOLDÁVEL E COM ROSCA, PVC, SOLDÁVEL, DN 25MM X 3/4, INSTALADO EM PRUMADA DE ÁGUA - FORNECIMENTO E INSTALAÇÃO. AF_12/2014</t>
  </si>
  <si>
    <t>Curva 45 graus, pvc, soldável, dn 32mm, instalado em prumada de água - fornecimento e instalação. af_12/2014</t>
  </si>
  <si>
    <t xml:space="preserve">89496/SINAPI </t>
  </si>
  <si>
    <t>Adaptador curto com bolsa e rosca para registro, pvc, soldável, dn 25mm x 3/4?, instalado em prumada de água - fornecimento e instalação. af_12/2014</t>
  </si>
  <si>
    <t xml:space="preserve">89538/SINAPI </t>
  </si>
  <si>
    <t>01144/ORSE</t>
  </si>
  <si>
    <t>Joelho de redução 90º de pvc rígido soldável, marrom diâm = 32 x 25mm</t>
  </si>
  <si>
    <t>03538/SINAPI</t>
  </si>
  <si>
    <t>Joelho de reducao, pvc soldavel, 90 graus, 32 mm x 25 mm, para agua fria predial</t>
  </si>
  <si>
    <t>92919/SINAPI</t>
  </si>
  <si>
    <t>92916/SINAPI</t>
  </si>
  <si>
    <t>92915/SINAPI</t>
  </si>
  <si>
    <t>ARMAÇÃO DE ESTRUTURAS DE CONCRETO ARMADO, EXCETO VIGAS, PILARES, LAJES E FUNDAÇÕES, UTILIZANDO AÇO CA-50 DE 10,0 MM - MONTAGEM. AF_12/2015</t>
  </si>
  <si>
    <t>ARMAÇÃO DE ESTRUTURAS DE CONCRETO ARMADO, EXCETO VIGAS, PILARES, LAJES E FUNDAÇÕES, UTILIZANDO AÇO CA-50 DE 6,3 MM - MONTAGEM. AF_12/2015</t>
  </si>
  <si>
    <t>ARMAÇÃO DE ESTRUTURAS DE CONCRETO ARMADO, EXCETO VIGAS, PILARES, LAJES E FUNDAÇÕES, UTILIZANDO AÇO CA-60 DE 5,0 MM - MONTAGEM. AF_12/2015</t>
  </si>
  <si>
    <t xml:space="preserve">Escada </t>
  </si>
  <si>
    <t>Pedra Argamassada</t>
  </si>
  <si>
    <t>Tipo</t>
  </si>
  <si>
    <t>Comprimento (m)</t>
  </si>
  <si>
    <t>Largura (m)</t>
  </si>
  <si>
    <t>Altura (m)</t>
  </si>
  <si>
    <t>Volume (m³)</t>
  </si>
  <si>
    <t>B1</t>
  </si>
  <si>
    <t>B2</t>
  </si>
  <si>
    <t>Alvenaria</t>
  </si>
  <si>
    <t>Área (m²)</t>
  </si>
  <si>
    <t>Cinta</t>
  </si>
  <si>
    <t>Forma</t>
  </si>
  <si>
    <t>Sapatas</t>
  </si>
  <si>
    <t>Lastro</t>
  </si>
  <si>
    <t>Volume Sapata (m³)</t>
  </si>
  <si>
    <t>Total Sapatas (m³)</t>
  </si>
  <si>
    <t>S1</t>
  </si>
  <si>
    <t>S2</t>
  </si>
  <si>
    <t>S3</t>
  </si>
  <si>
    <t>S4</t>
  </si>
  <si>
    <t>Pilar</t>
  </si>
  <si>
    <t>Volume Total (m³)</t>
  </si>
  <si>
    <t xml:space="preserve">PEx </t>
  </si>
  <si>
    <t xml:space="preserve">PIn </t>
  </si>
  <si>
    <t xml:space="preserve">PEsc 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</si>
  <si>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</si>
  <si>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</si>
  <si>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</si>
  <si>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</si>
  <si>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</si>
  <si>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</si>
  <si>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</si>
  <si>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</si>
  <si>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</si>
  <si>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</si>
  <si>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</si>
  <si>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</si>
  <si>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</si>
  <si>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</si>
  <si>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</si>
  <si>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</si>
  <si>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</si>
  <si>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</si>
  <si>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</si>
  <si>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</si>
  <si>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</si>
  <si>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VE</t>
  </si>
  <si>
    <t>Lances</t>
  </si>
  <si>
    <t>Patamar</t>
  </si>
  <si>
    <t>Fundo (m)</t>
  </si>
  <si>
    <t>Espelho (m)</t>
  </si>
  <si>
    <t>Forma (m²)</t>
  </si>
  <si>
    <t>L1</t>
  </si>
  <si>
    <t>L2</t>
  </si>
  <si>
    <t>Laje pré-moldada</t>
  </si>
  <si>
    <t>LAJE PRE-MOLDADA P/PISO, SOBRECARGA 200KG/M2, VAOS ATE 3,50M/E=8CM, C/ M2 AS 62,43
LAJOTAS E CAP.C/CONC FCK=20MPA, 4CM, INTER-EIXO 38CM, C/ESCORAMENTO (R
EAPR.3X) E FERRAGEM NEGATIVA</t>
  </si>
  <si>
    <t>74202/002/SINAPI</t>
  </si>
  <si>
    <t>ARMAÇÃO DE ESTRUTURAS DE CONCRETO ARMADO, EXCETO VIGAS, PILARES, LAJES E FUNDAÇÕES, UTILIZANDO AÇO CA-50 DE 12,5 MM - MONTAGEM. AF_12/2015</t>
  </si>
  <si>
    <t>Forma sapata + cinta</t>
  </si>
  <si>
    <t>Concreto sapata + cinta</t>
  </si>
  <si>
    <t>Total Lastro (m²)</t>
  </si>
  <si>
    <t xml:space="preserve">Viga 1º pavimento </t>
  </si>
  <si>
    <t>IFPB.CIVIL.05</t>
  </si>
  <si>
    <t>Administração local</t>
  </si>
  <si>
    <t>90780/SINAPI</t>
  </si>
  <si>
    <t>Mestre de obras com encargos complementares</t>
  </si>
  <si>
    <t xml:space="preserve">h </t>
  </si>
  <si>
    <t>90766/SINAPI</t>
  </si>
  <si>
    <t>Almoxarife com encargos complementares</t>
  </si>
  <si>
    <t>90778/SINAPI</t>
  </si>
  <si>
    <t>Engenheiro de obra pleno com encargos complementares</t>
  </si>
  <si>
    <t xml:space="preserve"> Aterro manual de áreas, sem aquisição de material, com espalhamento e compactação</t>
  </si>
  <si>
    <t>00071/ORSE</t>
  </si>
  <si>
    <t>Aréa total base das sapatas</t>
  </si>
  <si>
    <t>Aréa total base pedra argamassada</t>
  </si>
  <si>
    <t>Parede</t>
  </si>
  <si>
    <t>Piso</t>
  </si>
  <si>
    <t>6.2</t>
  </si>
  <si>
    <t>Calha</t>
  </si>
  <si>
    <t>Aterro</t>
  </si>
  <si>
    <t>Profundidade (m)</t>
  </si>
  <si>
    <t>ARMADURAS - BLOCO DE SALA DE AULA CAJAZEIRAS</t>
  </si>
  <si>
    <t>Pilares</t>
  </si>
  <si>
    <t>Bitola</t>
  </si>
  <si>
    <t>aço</t>
  </si>
  <si>
    <t>Peso ( kg)</t>
  </si>
  <si>
    <t>CA-60</t>
  </si>
  <si>
    <t>CA-50</t>
  </si>
  <si>
    <t>TOTAL</t>
  </si>
  <si>
    <t>Vigas</t>
  </si>
  <si>
    <t>Fundações</t>
  </si>
  <si>
    <t>Lajes</t>
  </si>
  <si>
    <t>Malha POP</t>
  </si>
  <si>
    <t>Armadura adicional 6.3</t>
  </si>
  <si>
    <t>92765/SINAPI</t>
  </si>
  <si>
    <t>92768/SINAPI</t>
  </si>
  <si>
    <t>ARMAÇÃO DE LAJE DE UMA ESTRUTURA CONVENCIONAL DE CONCRETO ARMADO EM UM EDIFÍCIO DE MÚLTIPLOS PAVIMENTOS UTILIZANDO AÇO CA-60 DE 5,0 MM - MON
TAGEM. AF_12/2015</t>
  </si>
  <si>
    <t>92769/SINAPI</t>
  </si>
  <si>
    <t>ARMAÇÃO DE LAJE DE UMA ESTRUTURA CONVENCIONAL DE CONCRETO ARMADO EM UM EDIFÍCIO DE MÚLTIPLOS PAVIMENTOS UTILIZANDO AÇO CA-50 DE 6,3 MM - MON
TAGEM. AF_12/2015</t>
  </si>
  <si>
    <t>ARMAÇÃO DE PILAR OU VIGA DE UMA ESTRUTURA CONVENCIONAL DE CONCRETO ARMADO EM UM EDIFÍCIO DE MÚLTIPLOS PAVIMENTOS UTILIZANDO AÇO CA-50 DE 20,0 MM - MONTAGEM. AF_12/2015</t>
  </si>
  <si>
    <t>CONCRETAGEM DE VIGAS E LAJES, FCK=30 MPA, PARA LAJES MACIÇAS OU NERVURADAS COM USO DE BOMBA EM EDIFICAÇÃO COM ÁREA MÉDIA DE LAJES MAIOR QUE 20 M² - LANÇAMENTO, ADENSAMENTO E ACABAMENTO. AF_12/2015ADENSAMENTO E ACABAMENTO. AF_12/2015</t>
  </si>
  <si>
    <t>junta de dilatação</t>
  </si>
  <si>
    <t>RAMPA</t>
  </si>
  <si>
    <t xml:space="preserve"> Vaso sanitário convencional, adaptado p/ deficiente físico, linha popular, ravena P9, DECA ou similar, c/cx.descarga de sobrepor AKROS ou similar, assento plastico universal branco ou similar, conjunto de fixação, tubo de ligação e engate plástico</t>
  </si>
  <si>
    <t>07180/ORSE</t>
  </si>
  <si>
    <t>00230/ORSE</t>
  </si>
  <si>
    <t>Assento para vaso sanitário, plastico, universal, branco, padrão popular</t>
  </si>
  <si>
    <t>00669/ORSE</t>
  </si>
  <si>
    <t>Fixação para vaso sanitário, DECA SP13 ou similar</t>
  </si>
  <si>
    <t>02410/ORSE</t>
  </si>
  <si>
    <t>Vaso sanitário convencional, linha ravena P9, DECA ou similar</t>
  </si>
  <si>
    <t>06653/ORSE</t>
  </si>
  <si>
    <t>Tubo descida de embutir com curva para caixa de descarga de sobrepor tigre ou similar</t>
  </si>
  <si>
    <t>01030/SINAPI</t>
  </si>
  <si>
    <t>Caixa de descarga de plastico externa, de *9* l, puxador fio de nylon, nao incluso cano, bolsa, engate</t>
  </si>
  <si>
    <t>Encanador ou bombeiro hidraulico</t>
  </si>
  <si>
    <t>06138/SINAPI</t>
  </si>
  <si>
    <t>Vedacao pvc, 100 mm, para saida vaso sanitario</t>
  </si>
  <si>
    <t>06140/SINAPI</t>
  </si>
  <si>
    <t>Bolsa de ligacao em pvc flexivel para vaso sanitario 1.1/2 " (40 mm)</t>
  </si>
  <si>
    <t>00085/ORSE</t>
  </si>
  <si>
    <t>Forma plana para fundações, em compensado resinado 12mm, 03 usos</t>
  </si>
  <si>
    <t>02477/ORSE</t>
  </si>
  <si>
    <t>Rasgos em alvenaria para passagem de tubulação diâm 1 1/4" a 2"</t>
  </si>
  <si>
    <t>Vaso sanitário convencional, adaptado p/ deficiente físico, linha popular, ravena P9, DECA ou similar, c/cx.descarga de sobrepor AKROS ou similar, assento plastico universal branco ou similar, conjunto de fixação, tubo de ligação e engate plástico</t>
  </si>
  <si>
    <t>Assento sanitario de plastico, tipo convencional</t>
  </si>
  <si>
    <t>Caixa sifonada em pvc, 150 x 150 x 50 mm, com tampa cega, acabamento branco, Akros ou similar</t>
  </si>
  <si>
    <t>04282/ORSE</t>
  </si>
  <si>
    <t xml:space="preserve"> Curva 45º de pvc rígido soldável, marrom diâm = 40mm</t>
  </si>
  <si>
    <t>01110/ORSE</t>
  </si>
  <si>
    <t>89748/SINAPI</t>
  </si>
  <si>
    <t>89733/SINAPI</t>
  </si>
  <si>
    <t>CURVA CURTA 90 GRAUS, PVC, SERIE NORMAL, ESGOTO PREDIAL, DN 50 MM, JUNTA ELÁSTICA, FORNECIDO E INSTALADO EM RAMAL DE DESCARGA OU RAMAL DE ES
GOTO SANITÁRIO. AF_12/2014</t>
  </si>
  <si>
    <t xml:space="preserve"> CURVA CURTA 90 GRAUS, PVC, SERIE NORMAL, ESGOTO PREDIAL, DN 100 MM, JUNTA ELÁSTICA, FORNECIDO E INSTALADO EM RAMAL DE DESCARGA OU RAMAL DE E
SGOTO SANITÁRIO. AF_12/2014</t>
  </si>
  <si>
    <t>CURVA CURTA 90 GRAUS, PVC, SERIE NORMAL, ESGOTO PREDIAL, DN 40 MM, JUN UN CR 6,28
TA SOLDÁVEL, FORNECIDO E INSTALADO EM RAMAL DE DESCARGA OU RAMAL DE ES
GOTO SANITÁRIO. AF_12/2014</t>
  </si>
  <si>
    <t>89728/SINAPI</t>
  </si>
  <si>
    <t xml:space="preserve">01543/ORSE </t>
  </si>
  <si>
    <t xml:space="preserve">Curva 45° longa em pvc rígido soldável, diâm = 50mm </t>
  </si>
  <si>
    <t>89854/SINAPI</t>
  </si>
  <si>
    <t>JOELHO 90 GRAUS, PVC, SERIE NORMAL, ESGOTO PREDIAL, DN 150 MM, JUNTA ELÁSTICA, FORNECIDO E INSTALADO EM SUBCOLETOR AÉREO DE ESGOTO SANITÁRIO
. AF_12/2014</t>
  </si>
  <si>
    <t>89778/SINAPI</t>
  </si>
  <si>
    <t xml:space="preserve"> LUVA SIMPLES, PVC, SERIE NORMAL, ESGOTO PREDIAL, DN 100 MM, JUNTA ELÁSTICA, FORNECIDO E INSTALADO EM RAMAL DE DESCARGA OU RAMAL DE ESGOTO SANITÁRIO. AF_12/2014</t>
  </si>
  <si>
    <t>89753/SINAPI</t>
  </si>
  <si>
    <t>LUVA SIMPLES, PVC, SERIE NORMAL, ESGOTO PREDIAL, DN 50 MM, JUNTA ELÁSTICA, FORNECIDO E INSTALADO EM RAMAL DE DESCARGA OU RAMAL DE ESGOTO SANITÁRIO. AF_12/2014</t>
  </si>
  <si>
    <t>89774/SINAPI</t>
  </si>
  <si>
    <t xml:space="preserve"> LUVA SIMPLES, PVC, SERIE NORMAL, ESGOTO PREDIAL, DN 75 MM, JUNTA ELÁSTICA, FORNECIDO E INSTALADO EM RAMAL DE DESCARGA OU RAMAL DE ESGOTO SANITÁRIO. AF_12/2014</t>
  </si>
  <si>
    <t>Junção simples em pvc rígido soldável, para esgoto primário, diâm = 100 x 50mm</t>
  </si>
  <si>
    <t>01562/ORSE</t>
  </si>
  <si>
    <t xml:space="preserve">01560/ORSE </t>
  </si>
  <si>
    <t xml:space="preserve">Junção simples em pvc rígido soldável, para esgoto primário, diâm = 75 x 50mm 
</t>
  </si>
  <si>
    <t xml:space="preserve">01527/ORSE </t>
  </si>
  <si>
    <t>Tubo pvc rígido soldável ponta e bolsa p/ esgoto predial, d = 100 mm</t>
  </si>
  <si>
    <t>Tubo pvc rígido soldável ponta e bolsa p/ esgoto predial, d = 50 mm</t>
  </si>
  <si>
    <t>01525/ORSE</t>
  </si>
  <si>
    <t>Tubo pvc rígido soldável ponta e bolsa p/ esgoto predial, d = 40 mm</t>
  </si>
  <si>
    <t xml:space="preserve">01524/ORSE </t>
  </si>
  <si>
    <t>Tubo pvc rígido soldável ponta e bolsa p/ esgoto predial, d = 75 mm</t>
  </si>
  <si>
    <t xml:space="preserve">01526/ORSE </t>
  </si>
  <si>
    <t xml:space="preserve"> Curva 45° curta em pvc rígido soldável, diâm = 100mm</t>
  </si>
  <si>
    <t>01537/ORSE</t>
  </si>
  <si>
    <t>Pilares Rampa</t>
  </si>
  <si>
    <t>ELETRODUTO RÍGIDO ROSCÁVEL, PVC, DN 50 MM (1 1/2") - FORNECIMENTO E INSTALAÇÃO. AF_12/2015</t>
  </si>
  <si>
    <t>93012</t>
  </si>
  <si>
    <t>ELETRODUTO RÍGIDO ROSCÁVEL, PVC, DN 110 MM (4") - FORNECIMENTO E INSTALAÇÃO. AF_12/2015</t>
  </si>
  <si>
    <t>IFPB.40E</t>
  </si>
  <si>
    <t>LUMINARIA DE EMBUTIR COM ALETAS, REFLETOR PARABÓLICO DE ALTO BRILHO, PARA DUAS LÂMPADAS LED  TUBULAR, 2 X 20W, &gt;= 1.850 LM, FP= 0,92, INCLUSIVE LÂMPADAS LED</t>
  </si>
  <si>
    <t>INTERRUPTOR INTERMEDIÁRIO (1 MÓDULO), 10A/250V, INCLUINDO SUPORTE E PLACA - FORNECIMENTO E INSTALAÇÃO. AF_09/2017</t>
  </si>
  <si>
    <t>74131/004</t>
  </si>
  <si>
    <t>QUADRO DE DISTRIBUICAO DE ENERGIA DE EMBUTIR, EM CHAPA METALICA, PARA 18 DISJUNTORES TERMOMAGNETICOS MONOPOLARES, COM BARRAMENTO TRIFASICO E NEUTRO, FORNECIMENTO E INSTALACAO</t>
  </si>
  <si>
    <t>QUADRO DE DISTRIBUICAO DE ENERGIA EM CHAPA DE ACO GALVANIZADO, PARA 12 DISJUNTORES TERMOMAGNETICOS MONOPOLARES, COM BARRAMENTO TRIFASICO E NEUTRO - FORNECIMENTO E INSTALACAO</t>
  </si>
  <si>
    <t>CABO DE COBRE FLEXÍVEL ISOLADO, 10 MM², ANTI-CHAMA 0,6/1,0 KV, PARA DISTRIBUIÇÃO - FORNECIMENTO E INSTALAÇÃO. AF_12/2015</t>
  </si>
  <si>
    <t>CABO DE COBRE FLEXÍVEL ISOLADO, 120 MM², ANTI-CHAMA 0,6/1,0 KV, PARA DISTRIBUIÇÃO - FORNECIMENTO E INSTALAÇÃO. AF_12/2015</t>
  </si>
  <si>
    <t>11751/ORSE</t>
  </si>
  <si>
    <t>Fornecimento e instalação de caixa de passagem em alumínio (15 x 15 x 10 cm)</t>
  </si>
  <si>
    <t>11533/ORSE</t>
  </si>
  <si>
    <t>Caixa de passagem em alvenaria de tijolos maciços esp. = 0,12m, dim. int. = 1.00 x 1.00 x 0,60m</t>
  </si>
  <si>
    <t>DISPOSITIVO DR TETRAPOLAR 63A, FORNECIMENTO E INSTALAÇÃO</t>
  </si>
  <si>
    <t>LUMINARIA DE SOBREPOR TIPO TARTARUGA, CORPO EM ALUMÍNIO FUNDIDO PINTADO, DIFUSOR EM VIDRO TEMPERADO, INCLUINDO LÂMPADA DE LED 15W</t>
  </si>
  <si>
    <t>DISJUNTOR TRIPOLAR TIPO DIN, CORRENTE NOMINAL DE 50A - FORNECIMENTO E INSTALAÇÃO. AF_04/2016</t>
  </si>
  <si>
    <t>00452/ORSE</t>
  </si>
  <si>
    <t>Disjuntor termomagnetico tripolar 63 A, padrão DIN (Europeu - linha branca), curva C</t>
  </si>
  <si>
    <t>08490/ORSE</t>
  </si>
  <si>
    <t>Disjuntor termomagnetico tripolar 100 A, padrão DIN (Europeu - linha branca), 10KA</t>
  </si>
  <si>
    <t>09067/ORSE</t>
  </si>
  <si>
    <t>Disjuntor termomagnético tripolar 200 A com caixa moldada 10 kA</t>
  </si>
  <si>
    <t>09685/ORSE</t>
  </si>
  <si>
    <t>Disjuntor termomagnético tripolar 250 A com caixa moldada 10 kA</t>
  </si>
  <si>
    <t>LUVA PARA ELETRODUTO, PVC, ROSCÁVEL, DN 50 MM (1 1/2") - FORNECIMENTO E INSTALAÇÃO. AF_12/2015</t>
  </si>
  <si>
    <t>LUVA PARA ELETRODUTO, PVC, ROSCÁVEL, DN 110 MM (4") - FORNECIMENTO E INSTALAÇÃO. AF_12/2015</t>
  </si>
  <si>
    <t>TERMINAL OU CONECTOR DE PRESSAO - PARA CABO 10MM2 - FORNECIMENTO E INSTALACAO</t>
  </si>
  <si>
    <t>72266</t>
  </si>
  <si>
    <t>TERMINAL OU CONECTOR DE PRESSAO - PARA CABO 120MM2 - FORNECIMENTO E INSTALAÇÃO</t>
  </si>
  <si>
    <t>CURVA 90 GRAUS PARA ELETRODUTO, PVC, ROSCÁVEL, DN 50 MM (1 1/2") - FORNECIMENTO E INSTALAÇÃO. AF_12/2015</t>
  </si>
  <si>
    <t>93026</t>
  </si>
  <si>
    <t xml:space="preserve"> CURVA 90 GRAUS PARA ELETRODUTO, PVC, ROSCÁVEL, DN 110 MM (4") - FORNECIMENTO E INSTALAÇÃO. AF_12/2015</t>
  </si>
  <si>
    <t>72915</t>
  </si>
  <si>
    <t>ESCAVACAO MECANICA DE VALA EM MATERIAL DE 2A. CATEGORIA ATE 2 M DE PROFUNDIDADE COM UTILIZACAO DE ESCAVADEIRA HIDRAULICA</t>
  </si>
  <si>
    <t>REATERRO MECANIZADO DE VALA COM RETROESCAVADEIRA (CAPACIDADE DA CAÇAMBA DA RETRO: 0,26 M³ / POTÊNCIA: 88 HP), LARGURA ATÉ 0,8 M, PROFUNDIDADE ATÉ 1,5 M, COM SOLO (SEM SUBSTITUIÇÃO) DE 1ª CATEGORIA EM LOCAIS COM ALTO NÍVEL DE INTERFERÊNCIA. AF_04/2016</t>
  </si>
  <si>
    <t>14.60</t>
  </si>
  <si>
    <t>14.61</t>
  </si>
  <si>
    <t>Cód. Comp.</t>
  </si>
  <si>
    <t>Descrição Composição</t>
  </si>
  <si>
    <t>Unidade</t>
  </si>
  <si>
    <t>Composição Referência</t>
  </si>
  <si>
    <t>ORSE/SE 08359</t>
  </si>
  <si>
    <t>Cód.</t>
  </si>
  <si>
    <t>Descrição Insumo / Serviço</t>
  </si>
  <si>
    <t>Coef.</t>
  </si>
  <si>
    <t>Custo (R$)</t>
  </si>
  <si>
    <t>Custo Tot. (R$)</t>
  </si>
  <si>
    <t>Origem</t>
  </si>
  <si>
    <t>03632/ORSE</t>
  </si>
  <si>
    <t>Eletrocalha metálica perfurada 100 x 50 x 3000 mm (ref. mopa ou similar)</t>
  </si>
  <si>
    <t>ORSE-IN</t>
  </si>
  <si>
    <t>88264/SINAPI</t>
  </si>
  <si>
    <t>ELETRICISTA COM ENCARGOS COMPLEMENTARES</t>
  </si>
  <si>
    <t>SINAPI-SV</t>
  </si>
  <si>
    <t>88247/SINAPI</t>
  </si>
  <si>
    <t xml:space="preserve">AUXILIAR DE ELETRICISTA COM ENCARGOS COMPLEMENTARES </t>
  </si>
  <si>
    <t>03990/ORSE</t>
  </si>
  <si>
    <t>Tampa de encaixe 100 X3000 - Z para eletrocalha metálica (ref.: mopa ou similar)</t>
  </si>
  <si>
    <t>00011953</t>
  </si>
  <si>
    <t>PARAFUSO FRANCES ZINCADO, DIAMETRO 1/2'', COMPRIMENTO 2'', COM PORCA E ARRUELA</t>
  </si>
  <si>
    <t>SINAPI-IN</t>
  </si>
  <si>
    <t>00037590</t>
  </si>
  <si>
    <t>SUPORTE MAO-FRANCESA EM ACO, ABAS IGUAIS 30 CM, CAPACIDADE MINIMA 60 KG, BRANCO</t>
  </si>
  <si>
    <t>04032/ORSE</t>
  </si>
  <si>
    <t>Emenda interna 100 x 50 mm com base lisa perfurada para eletrocalha metálica (ref. Mopa ou similar)</t>
  </si>
  <si>
    <t>03997/ORSE</t>
  </si>
  <si>
    <t>Curva horizontal 100 x 50 mm para eletrocalha metálica, com ângulo 90° (ref.: mopa ou similar)</t>
  </si>
  <si>
    <t>Total Geral (R$)</t>
  </si>
  <si>
    <t>07798/ORSE</t>
  </si>
  <si>
    <t>Custo Insumo (R$)</t>
  </si>
  <si>
    <t>Custo Comp. (R$)</t>
  </si>
  <si>
    <t>07550/ORSE</t>
  </si>
  <si>
    <t>Luminária de embutir com aletas, para lâmpada fluorescente, 2 x 32w, ref. C-2359, da Lustres Projeto ou similar</t>
  </si>
  <si>
    <t>39387/SINAPI</t>
  </si>
  <si>
    <t>Lampada led tubular bivolt 18/20 w, base g13</t>
  </si>
  <si>
    <t>93147/SINAPI</t>
  </si>
  <si>
    <t>90447/SINAPI</t>
  </si>
  <si>
    <t>Rasgo em alvenaria para eletrodutos com diametros menores ou iguais a 40 mm. af_05/2015</t>
  </si>
  <si>
    <t>90456/SINAPI</t>
  </si>
  <si>
    <t>Quebra em alvenaria para instalação de caixa de tomada (4x4 ou 4x2). af_05/2015</t>
  </si>
  <si>
    <t>90466/SINAPI</t>
  </si>
  <si>
    <t>Chumbamento linear em alvenaria para ramais/distribuição com diâmetros menores ou iguais a 40 mm. af_05/2015</t>
  </si>
  <si>
    <t>ELETRODUTO RÍGIDO ROSCÁVEL, PVC, DN 25 MM (3/4"), PARA CIRCUITOS TERMINAIS, INSTALADO EM PAREDE</t>
  </si>
  <si>
    <t>Cabo de cobre flexível isolado, 2,5 mm², anti-chama 450/750 v, para circuitos terminais - fornecimento e instalação. af_12/2015</t>
  </si>
  <si>
    <t>91940/SINAPI</t>
  </si>
  <si>
    <t>Caixa retangular 4" x 2" média (1,30 m do piso), pvc, instalada em parede - fornecimento e instalação. af_12/2015</t>
  </si>
  <si>
    <t>INTERRUPTOR PARALELO (1 MÓDULO), 10A/250V, INCLUINDO SUPORTE E PLACA - FORNECIMENTO E INSTALAÇÃO. AF_12/2015</t>
  </si>
  <si>
    <t>91890/SINAPI</t>
  </si>
  <si>
    <t xml:space="preserve"> Curva 90 graus para eletroduto, pvc, roscável, dn 25 mm (3/4"), para circuitos terminais, instalada em forro - fornecimento e instalação. af_12/2015</t>
  </si>
  <si>
    <t>00642/ORSE</t>
  </si>
  <si>
    <t>CAIXA OCTOGONAL 4" X 4", PVC, INSTALADA EM LAJE - FORNECIMENTO E INSTALAÇÃO. AF_12/2015</t>
  </si>
  <si>
    <t>FITA ISOLANTE ADESIVA ANTICHAMA, USO ATE 750 V, EM ROLO DE 19 MM X 20 M</t>
  </si>
  <si>
    <t>91953/SINAPI</t>
  </si>
  <si>
    <t>INTERRUPTOR SIMPLES (1 MÓDULO), 10A/250V, INCLUINDO SUPORTE E PLACA</t>
  </si>
  <si>
    <t>Curva 90 graus para eletroduto, pvc, roscável, dn 25 mm (3/4"), para circuitos terminais, instalada em forro - fornecimento e instalação. af_12/2015</t>
  </si>
  <si>
    <t>INTERRUPTOR SIMPLES (2 MÓDULOS), 10A/250V, INCLUINDO SUPORTE E PLACA</t>
  </si>
  <si>
    <t>93143/SINAPI</t>
  </si>
  <si>
    <t>TOMADA MÉDIA DE EMBUTIR (1 MÓDULO), 2P+T 10 A, INCLUINDO SUPORTE E PLA</t>
  </si>
  <si>
    <t>91928/SINAPI</t>
  </si>
  <si>
    <t>Cabo de cobre flexível isolado, 4 mm², anti-chama 450/750 v, para circuitos terminais - fornecimento e instalação. af_12/2015</t>
  </si>
  <si>
    <t>91997/SINAPI</t>
  </si>
  <si>
    <t>Tomada média de embutir (1 módulo), 2p+t 20 a, incluindo suporte e placa - fornecimento e instalação. af_12/2015</t>
  </si>
  <si>
    <t>09278/ORSE</t>
  </si>
  <si>
    <t>03555/ORSE</t>
  </si>
  <si>
    <t>Caixa p/quadro eletrico em chapa metalica d=100 x 60 x 25cm</t>
  </si>
  <si>
    <t>ORSE-SV</t>
  </si>
  <si>
    <t>04490/ORSE</t>
  </si>
  <si>
    <t>Barra chata de cobre 1"x1/4"</t>
  </si>
  <si>
    <t>09496/ORSE</t>
  </si>
  <si>
    <t>Chapa de acrilico</t>
  </si>
  <si>
    <t>04946/ORSE</t>
  </si>
  <si>
    <t>Barra chata de cobre 3/4" x 1/4"</t>
  </si>
  <si>
    <t>Barra chata de cobre 1/2" x 3/16"</t>
  </si>
  <si>
    <t>Barra chata de cobre 3/8" x 1/8"</t>
  </si>
  <si>
    <t>09600/ORSE</t>
  </si>
  <si>
    <t>Isolador epoxi BT 40x40</t>
  </si>
  <si>
    <t xml:space="preserve">09602/ORSE </t>
  </si>
  <si>
    <t>Trilho galvanizado p/montagem de quadros distribuição</t>
  </si>
  <si>
    <t>07294/ORSE</t>
  </si>
  <si>
    <t>06863</t>
  </si>
  <si>
    <t xml:space="preserve"> Luminária tipo balizador para ambiente aberto, corpo em alumínio fundido pintado, difusor em vidro frisado temperado, ref. EX02-S, da Lumicenter ou simiular (tipo tartaruga)</t>
  </si>
  <si>
    <t>Lampada led 15w bivolt branca, formato tradicional (base e27)</t>
  </si>
  <si>
    <t>09969/ORSE</t>
  </si>
  <si>
    <t>03620</t>
  </si>
  <si>
    <t>Disjuntor tetrapolar DR 40 A, tipo AC, corrente nominal residual 30mA, ref.: Siemens 5SM1 ou similar</t>
  </si>
  <si>
    <t>UND</t>
  </si>
  <si>
    <t>03621</t>
  </si>
  <si>
    <t>Disjuntor tetrapolar DR 63 A, tipo AC, corrente nominal residual 30mA, ref.: Siemens 5SM1 ou similar</t>
  </si>
  <si>
    <t xml:space="preserve"> SIFÃO DO TIPO FLEXÍVEL EM PVC 1 X 1.1/2 - FORNECIMENTO E INSTALAÇÃO. UN CR 8,64
AF_12/2013</t>
  </si>
  <si>
    <t>86883/SINAPI</t>
  </si>
  <si>
    <t>IFPB.CIVIL.06</t>
  </si>
  <si>
    <t>00370/SINAPI</t>
  </si>
  <si>
    <t>01382/SINAPI</t>
  </si>
  <si>
    <t>Cimento portland pozolanico cp iv- 32</t>
  </si>
  <si>
    <t>50kg</t>
  </si>
  <si>
    <t>04721/SINAPI</t>
  </si>
  <si>
    <t>07271/SINAPI</t>
  </si>
  <si>
    <t>Bloco ceramico (alvenaria de vedacao), 8 furos, de 9 x 19 x19 cm</t>
  </si>
  <si>
    <t>Caixa de areia 80x80x60cm em alvenaria - execução</t>
  </si>
  <si>
    <t>IFPB.CIVIL.07</t>
  </si>
  <si>
    <t>00122/SINAPI</t>
  </si>
  <si>
    <t>Adesivo plastico para pvc, frasco com 850 gr</t>
  </si>
  <si>
    <t>20083/SINAPI</t>
  </si>
  <si>
    <t>Solucao limpadora para pvc, frasco com 1000 cm3</t>
  </si>
  <si>
    <t>38383/SINAPI</t>
  </si>
  <si>
    <t>Lixa d'agua em folha, grao 100</t>
  </si>
  <si>
    <t>Encanador ou bombeiro hidráulico com encargos complementares</t>
  </si>
  <si>
    <t>88248/SINAPI</t>
  </si>
  <si>
    <t>Auxiliar de encanador ou bombeiro hidráulico com encargos complementares</t>
  </si>
  <si>
    <t>Ralo Abacaxi 100mm</t>
  </si>
  <si>
    <t xml:space="preserve"> Caixa de areia 80x80x60cm em alvenaria - execução</t>
  </si>
  <si>
    <t xml:space="preserve"> Joelho 90 graus, pvc, serie normal, esgoto predial, dn 40 mm, junta soldável, fornecido e instalado em ramal de descarga ou ramal de esgoto sanitário. af_12/2014</t>
  </si>
  <si>
    <t>09030/ORSE</t>
  </si>
  <si>
    <t xml:space="preserve">Caixa de passagem em alvenaria de tijolos maciços esp. = 0,12m, dim. int.= 0,80x0,80x0,40m </t>
  </si>
  <si>
    <t>92771/SINAPI</t>
  </si>
  <si>
    <t>ARMAÇÃO DE LAJE DE UMA ESTRUTURA CONVENCIONAL DE CONCRETO ARMADO EM UM CEDIFÍCIO DE MÚLTIPLOS PAVIMENTOS UTILIZANDO AÇO CA-50 DE 10,0 MM - MO
NTAGEM. AF_12/2015</t>
  </si>
  <si>
    <t>92772/SINAPI</t>
  </si>
  <si>
    <t>08387/ORSE</t>
  </si>
  <si>
    <t>1.15</t>
  </si>
  <si>
    <t xml:space="preserve">Remoção de bancada de granito (ou marmore) </t>
  </si>
  <si>
    <t>04509/SINAPI</t>
  </si>
  <si>
    <t>04718/SINAPI</t>
  </si>
  <si>
    <t>05075/SINAPI</t>
  </si>
  <si>
    <t>06189/SINAPI</t>
  </si>
  <si>
    <t>Tabua de madeira nao aparelhada *2,5 x 30* cm, cedrinho ou equivalente da regiao</t>
  </si>
  <si>
    <t>00367/SINAPI</t>
  </si>
  <si>
    <t>00081/ORSE</t>
  </si>
  <si>
    <t>Aço ca-50 6,3 a 12,5 mm</t>
  </si>
  <si>
    <t>09805/ORSE</t>
  </si>
  <si>
    <t>88245/SINAPI</t>
  </si>
  <si>
    <t>Armador com encargos complementares</t>
  </si>
  <si>
    <t xml:space="preserve">11672/ORSE </t>
  </si>
  <si>
    <t>142/SINAPI</t>
  </si>
  <si>
    <t>240Dias</t>
  </si>
  <si>
    <t>ARMAÇÃO DE LAJE DE UMA ESTRUTURA CONVENCIONAL DE CONCRETO ARMADO EM UM EDIFÍCIO DE MÚLTIPLOS PAVIMENTOS UTILIZANDO AÇO CA-50 DE 12,5 MM - MO
NTAGEM. AF_12/2015</t>
  </si>
  <si>
    <t>11713/SINAPI</t>
  </si>
  <si>
    <t>Caixa sifonada pvc 150 x 150 x 50mm com tampa cega quadradabranca</t>
  </si>
  <si>
    <t>01929/SINAPI</t>
  </si>
  <si>
    <t>Curva de pvc 45 graus, soldavel, 40 mm, para agua fria predial (nbr 5648)</t>
  </si>
  <si>
    <t>Curva 45º de pvc rígido soldável, marrom diâm = 40mm</t>
  </si>
  <si>
    <t>10765/SINAPI</t>
  </si>
  <si>
    <t>Curva pvc longa 45g, dn 50 mm, para esgoto predial</t>
  </si>
  <si>
    <t>00795/ORSE</t>
  </si>
  <si>
    <t>Curva 45 curta pvc sanitario d= 100mm</t>
  </si>
  <si>
    <t>01270/ORSE</t>
  </si>
  <si>
    <t>Juncao simples pvc rigido p/ esgoto primario, diam =100 x 50mm</t>
  </si>
  <si>
    <t xml:space="preserve">Junção simples em pvc rígido soldável, para esgoto primário, diâm = 75 x 50mm </t>
  </si>
  <si>
    <t>03661/SINAPI</t>
  </si>
  <si>
    <t xml:space="preserve">Juncao simples, pvc, dn 75 x 50 mm, serie normal para esgoto predial </t>
  </si>
  <si>
    <t>01703/ORSE</t>
  </si>
  <si>
    <t>Pasta lubrificante p/ pvc je</t>
  </si>
  <si>
    <t>01936/ORSE</t>
  </si>
  <si>
    <t>Reducao excentrica pvc sanitario d= 75 x 50mm</t>
  </si>
  <si>
    <t>00296/SINAPI</t>
  </si>
  <si>
    <t>Anel borracha para tubo esgoto predial dn 50 mm (nbr 5688)</t>
  </si>
  <si>
    <t>18.1</t>
  </si>
  <si>
    <t>18.2</t>
  </si>
  <si>
    <t>07139/orse</t>
  </si>
  <si>
    <t>Ponto para cabeamento estruturado embutido, com eletroduto pvc rígido Ø 3/4" c/cabo UTP 4 pares cat. 6</t>
  </si>
  <si>
    <t>PATCH PANEL 24 PORTAS, CATEGORIA 6 - FORNECIMENTO E INSTALAÇÃO. AF_03/2018</t>
  </si>
  <si>
    <t>IFPB.46E</t>
  </si>
  <si>
    <t>08683/ORSE</t>
  </si>
  <si>
    <t>Fornecimento e instalação de rack de piso 19" x 24u x 700mm</t>
  </si>
  <si>
    <t>IFPB.49E</t>
  </si>
  <si>
    <t>Conversor de mídia RJ-45 para fibra ótica, com uma porta RJ-45 1000base-T, uma porta para fibra ótica 1000base-SX multimodo (50/125 ou 62,5/125) para conector SC, com led em seu corpo - FORNECIMENTO E INSTALAÇÃO</t>
  </si>
  <si>
    <t>DISTRIBUIDOR INTERNO ÓPTICO - D.I.O</t>
  </si>
  <si>
    <t>89865</t>
  </si>
  <si>
    <t>Fornecimento e Instalação de tubulação em cobre p/ interligação do condensador ao evaporador, inclusive isolamento, alimentação elétrica, conexões e fixações, p/ condicionadores de ar split system até 48.000 BTU.</t>
  </si>
  <si>
    <t>HASTE DE ATERRAMENTO 5/8 PARA SPDA - FORNECIMENTO E INSTALAÇÃO. AF_12/2017</t>
  </si>
  <si>
    <t>Remoção de janelas, de forma manual, sem reaproveitamento. af_12/2017</t>
  </si>
  <si>
    <t>IFPB.CIVIL.08</t>
  </si>
  <si>
    <t>Laje pré-fabricada treliçada para piso ou cobertura, intereixo 38cm, h=21cm, el. enchimento em EPS h=16cm, inclusive escoramento em madeira e capeamento 5cm.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</si>
  <si>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</si>
  <si>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</si>
  <si>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</si>
  <si>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</si>
  <si>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</si>
  <si>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</si>
  <si>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</si>
  <si>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</si>
  <si>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</si>
  <si>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</si>
  <si>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</si>
  <si>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</si>
  <si>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</si>
  <si>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</si>
  <si>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</si>
  <si>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</si>
  <si>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</si>
  <si>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</si>
  <si>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</si>
  <si>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</si>
  <si>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</si>
  <si>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</si>
  <si>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4.4.1</t>
  </si>
  <si>
    <t>4.4.2</t>
  </si>
  <si>
    <t>4.4.3</t>
  </si>
  <si>
    <t>4.4.4</t>
  </si>
  <si>
    <t>4.4.5</t>
  </si>
  <si>
    <t>4.4.6</t>
  </si>
  <si>
    <t>4.4.7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</si>
  <si>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</si>
  <si>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</si>
  <si>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</si>
  <si>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</si>
  <si>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</si>
  <si>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</si>
  <si>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</si>
  <si>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</si>
  <si>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5.5</t>
  </si>
  <si>
    <t>Cinta ou pilarete de amarração de alvenaria moldada in loco em concreto. af_03/2016</t>
  </si>
  <si>
    <t>JANELA DE ALUMÍNIO ANODIZADO DE CORRER COMPOSTA POR 2 FOLHAS, ACABAMENTO EM BRANCO BRILHANTE, INCLUSO VIDRO VERDE LAMINADO 6MM - CONFORME PROJETO ARQUITETÔNICO (J01)</t>
  </si>
  <si>
    <t>JANELA DE ALUMÍNIO ANODIZADO DE CORRER COMPOSTA POR 3 FOLHAS, ACABAMENTO EM BRANCO BRILHANTE, INCLUSO VIDRO VERDE LAMINADO 6MM - CONFORME PROJETO ARQUITETÔNICO (J02)</t>
  </si>
  <si>
    <t>APLICAÇÃO DE FUNDO SELADOR LÁTEX PVA EM PAREDES, UMA DEMÃO. AF_06/2014</t>
  </si>
  <si>
    <t>mês</t>
  </si>
  <si>
    <t>ARMAÇÃO DE ESCADA, COM 2 LANCES, DE UMA ESTRUTURA CONVENCIONAL DE CONCRETO ARMADO UTILIZANDO AÇO CA-60 DE 5,0 MM - MONTAGEM. AF_01/2017</t>
  </si>
  <si>
    <t>95943/SINAPI</t>
  </si>
  <si>
    <t>ARMAÇÃO DE ESCADA, COM 2 LANCES, DE UMA ESTRUTURA CONVENCIONAL DE CONCRETO ARMADO UTILIZANDO AÇO CA-50 DE 6,3 MM - MONTAGEM. AF_01/2017</t>
  </si>
  <si>
    <t>95944/SINAPI</t>
  </si>
  <si>
    <t>ARMAÇÃO DE ESCADA, COM 2 LANCES, DE UMA ESTRUTURA CONVENCIONAL DE CONCRETO ARMADO UTILIZANDO AÇO CA-50 DE 10,0 MM - MONTAGEM. AF_01/2017</t>
  </si>
  <si>
    <t>95946/SINAPI</t>
  </si>
  <si>
    <t>ARMAÇÃO DE ESCADA, COM 2 LANCES, DE UMA ESTRUTURA CONVENCIONAL DE CONCRETO ARMADO UTILIZANDO AÇO CA-50 DE 12,5 MM - MONTAGEM. AF_01/2017</t>
  </si>
  <si>
    <t>95947/SINAPI</t>
  </si>
  <si>
    <t>94342/SINAPI</t>
  </si>
  <si>
    <t>ATERRO MANUAL DE VALAS COM AREIA PARA ATERRO E COMPACTAÇÃO MECANIZADA.AF_05/2016</t>
  </si>
</sst>
</file>

<file path=xl/styles.xml><?xml version="1.0" encoding="utf-8"?>
<styleSheet xmlns="http://schemas.openxmlformats.org/spreadsheetml/2006/main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%"/>
    <numFmt numFmtId="167" formatCode="000000"/>
    <numFmt numFmtId="168" formatCode="_(* #,##0.000_);_(* \(#,##0.000\);_(* &quot;-&quot;??_);_(@_)"/>
    <numFmt numFmtId="169" formatCode="_(* #,##0.0000000_);_(* \(#,##0.0000000\);_(* &quot;-&quot;??_);_(@_)"/>
    <numFmt numFmtId="178" formatCode="0.000"/>
    <numFmt numFmtId="179" formatCode="_(&quot;R$&quot;\ * #,##0.00_);_(&quot;R$&quot;\ * \(#,##0.00\);_(&quot;R$&quot;\ * &quot;-&quot;??_);_(@_)"/>
    <numFmt numFmtId="181" formatCode="0.0"/>
    <numFmt numFmtId="182" formatCode="&quot;R$ &quot;#,##0_);[Red]\(&quot;R$ &quot;#,##0\)"/>
    <numFmt numFmtId="190" formatCode="0.0000"/>
    <numFmt numFmtId="196" formatCode="&quot;R$ &quot;#,##0.00_);\(&quot;R$ &quot;#,##0.00\)"/>
  </numFmts>
  <fonts count="55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8"/>
      <name val="Comic Sans MS"/>
      <family val="4"/>
    </font>
    <font>
      <sz val="8"/>
      <name val="Comic Sans MS"/>
      <family val="4"/>
    </font>
    <font>
      <sz val="8"/>
      <name val="Arial"/>
      <family val="2"/>
    </font>
    <font>
      <b/>
      <sz val="10"/>
      <name val="Comic Sans MS"/>
      <family val="4"/>
    </font>
    <font>
      <b/>
      <sz val="8"/>
      <color indexed="8"/>
      <name val="Comic Sans MS"/>
      <family val="4"/>
    </font>
    <font>
      <b/>
      <sz val="14"/>
      <color indexed="8"/>
      <name val="Comic Sans MS"/>
      <family val="4"/>
    </font>
    <font>
      <b/>
      <sz val="12"/>
      <name val="Comic Sans MS"/>
      <family val="4"/>
    </font>
    <font>
      <sz val="10"/>
      <name val="Arial"/>
      <family val="2"/>
    </font>
    <font>
      <sz val="8"/>
      <color indexed="10"/>
      <name val="Comic Sans MS"/>
      <family val="4"/>
    </font>
    <font>
      <sz val="8"/>
      <color indexed="14"/>
      <name val="Comic Sans MS"/>
      <family val="4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9"/>
      <name val="Times New Roman"/>
      <family val="1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b/>
      <sz val="10"/>
      <name val="Andalus"/>
      <family val="1"/>
    </font>
    <font>
      <sz val="10"/>
      <name val="Andalus"/>
      <family val="1"/>
    </font>
    <font>
      <b/>
      <sz val="12"/>
      <color indexed="8"/>
      <name val="Comic Sans MS"/>
      <family val="4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10"/>
      <color rgb="FFFF0000"/>
      <name val="Andalus"/>
      <family val="1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1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41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01">
    <xf numFmtId="0" fontId="0" fillId="0" borderId="0"/>
    <xf numFmtId="0" fontId="2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19" fillId="14" borderId="0" applyNumberFormat="0" applyBorder="0" applyAlignment="0" applyProtection="0"/>
    <xf numFmtId="0" fontId="19" fillId="9" borderId="0" applyNumberFormat="0" applyBorder="0" applyAlignment="0" applyProtection="0"/>
    <xf numFmtId="0" fontId="19" fillId="11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1" borderId="0" applyNumberFormat="0" applyBorder="0" applyAlignment="0" applyProtection="0"/>
    <xf numFmtId="0" fontId="25" fillId="3" borderId="0" applyNumberFormat="0" applyBorder="0" applyAlignment="0" applyProtection="0"/>
    <xf numFmtId="0" fontId="21" fillId="22" borderId="1" applyNumberFormat="0" applyAlignment="0" applyProtection="0"/>
    <xf numFmtId="0" fontId="22" fillId="23" borderId="2" applyNumberFormat="0" applyAlignment="0" applyProtection="0"/>
    <xf numFmtId="0" fontId="2" fillId="0" borderId="0"/>
    <xf numFmtId="0" fontId="2" fillId="0" borderId="0"/>
    <xf numFmtId="0" fontId="2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3" fillId="0" borderId="6" applyNumberFormat="0" applyFill="0" applyAlignment="0" applyProtection="0"/>
    <xf numFmtId="0" fontId="33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4" fillId="7" borderId="1" applyNumberFormat="0" applyAlignment="0" applyProtection="0"/>
    <xf numFmtId="0" fontId="23" fillId="0" borderId="3" applyNumberFormat="0" applyFill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38" fillId="0" borderId="0" applyFont="0" applyFill="0" applyBorder="0" applyAlignment="0" applyProtection="0"/>
    <xf numFmtId="17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4" fontId="38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45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38" fillId="0" borderId="0" applyFont="0" applyFill="0" applyBorder="0" applyAlignment="0" applyProtection="0"/>
    <xf numFmtId="164" fontId="35" fillId="0" borderId="0" applyFont="0" applyFill="0" applyBorder="0" applyAlignment="0" applyProtection="0"/>
    <xf numFmtId="44" fontId="38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6" fillId="13" borderId="0" applyNumberFormat="0" applyBorder="0" applyAlignment="0" applyProtection="0"/>
    <xf numFmtId="0" fontId="45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11" fillId="0" borderId="0"/>
    <xf numFmtId="0" fontId="34" fillId="0" borderId="0"/>
    <xf numFmtId="0" fontId="2" fillId="0" borderId="0"/>
    <xf numFmtId="0" fontId="2" fillId="0" borderId="0"/>
    <xf numFmtId="0" fontId="4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34" fillId="0" borderId="0"/>
    <xf numFmtId="0" fontId="34" fillId="0" borderId="0"/>
    <xf numFmtId="0" fontId="2" fillId="0" borderId="0"/>
    <xf numFmtId="0" fontId="2" fillId="0" borderId="0"/>
    <xf numFmtId="0" fontId="45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45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" fillId="0" borderId="0"/>
    <xf numFmtId="0" fontId="45" fillId="0" borderId="0"/>
    <xf numFmtId="0" fontId="2" fillId="0" borderId="0"/>
    <xf numFmtId="0" fontId="35" fillId="0" borderId="0"/>
    <xf numFmtId="0" fontId="36" fillId="0" borderId="0"/>
    <xf numFmtId="0" fontId="2" fillId="0" borderId="0"/>
    <xf numFmtId="0" fontId="2" fillId="0" borderId="0"/>
    <xf numFmtId="0" fontId="37" fillId="0" borderId="0" applyNumberFormat="0" applyFill="0" applyBorder="0" applyProtection="0">
      <alignment vertical="top" wrapText="1"/>
    </xf>
    <xf numFmtId="0" fontId="3" fillId="0" borderId="0"/>
    <xf numFmtId="0" fontId="2" fillId="10" borderId="7" applyNumberFormat="0" applyFont="0" applyAlignment="0" applyProtection="0"/>
    <xf numFmtId="0" fontId="2" fillId="10" borderId="7" applyNumberFormat="0" applyFont="0" applyAlignment="0" applyProtection="0"/>
    <xf numFmtId="0" fontId="27" fillId="22" borderId="8" applyNumberFormat="0" applyAlignment="0" applyProtection="0"/>
    <xf numFmtId="9" fontId="2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11" fillId="0" borderId="0" applyFill="0" applyBorder="0" applyAlignment="0" applyProtection="0"/>
    <xf numFmtId="168" fontId="2" fillId="0" borderId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8" fontId="2" fillId="0" borderId="0" applyFill="0" applyBorder="0" applyAlignment="0" applyProtection="0"/>
    <xf numFmtId="0" fontId="2" fillId="0" borderId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2" fillId="0" borderId="0" applyFill="0" applyBorder="0" applyAlignment="0" applyProtection="0"/>
    <xf numFmtId="168" fontId="2" fillId="0" borderId="0" applyFill="0" applyBorder="0" applyAlignment="0" applyProtection="0"/>
    <xf numFmtId="168" fontId="2" fillId="0" borderId="0" applyFill="0" applyBorder="0" applyAlignment="0" applyProtection="0"/>
    <xf numFmtId="43" fontId="2" fillId="0" borderId="0" applyFont="0" applyFill="0" applyBorder="0" applyAlignment="0" applyProtection="0"/>
    <xf numFmtId="168" fontId="2" fillId="0" borderId="0" applyFill="0" applyBorder="0" applyAlignment="0" applyProtection="0"/>
    <xf numFmtId="168" fontId="2" fillId="0" borderId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4" applyNumberFormat="0" applyFill="0" applyAlignment="0" applyProtection="0"/>
    <xf numFmtId="165" fontId="2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45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703">
    <xf numFmtId="0" fontId="0" fillId="0" borderId="0" xfId="0"/>
    <xf numFmtId="0" fontId="5" fillId="0" borderId="0" xfId="0" applyFont="1" applyFill="1"/>
    <xf numFmtId="0" fontId="7" fillId="0" borderId="0" xfId="0" applyFont="1" applyFill="1"/>
    <xf numFmtId="0" fontId="5" fillId="0" borderId="0" xfId="0" applyFont="1" applyFill="1" applyAlignment="1">
      <alignment horizontal="center" vertical="center"/>
    </xf>
    <xf numFmtId="165" fontId="5" fillId="0" borderId="0" xfId="180" applyFont="1" applyFill="1" applyAlignment="1">
      <alignment horizontal="right"/>
    </xf>
    <xf numFmtId="165" fontId="5" fillId="0" borderId="0" xfId="180" applyFont="1" applyFill="1" applyAlignment="1">
      <alignment horizontal="center" vertical="center"/>
    </xf>
    <xf numFmtId="4" fontId="5" fillId="0" borderId="0" xfId="180" applyNumberFormat="1" applyFont="1" applyFill="1" applyAlignment="1">
      <alignment horizontal="center"/>
    </xf>
    <xf numFmtId="165" fontId="5" fillId="0" borderId="0" xfId="0" applyNumberFormat="1" applyFont="1" applyFill="1"/>
    <xf numFmtId="165" fontId="5" fillId="24" borderId="9" xfId="180" applyFont="1" applyFill="1" applyBorder="1" applyAlignment="1">
      <alignment horizontal="center" vertical="center"/>
    </xf>
    <xf numFmtId="165" fontId="5" fillId="24" borderId="9" xfId="180" applyFont="1" applyFill="1" applyBorder="1" applyAlignment="1">
      <alignment horizontal="right" vertical="center"/>
    </xf>
    <xf numFmtId="10" fontId="5" fillId="24" borderId="9" xfId="121" applyNumberFormat="1" applyFont="1" applyFill="1" applyBorder="1" applyAlignment="1">
      <alignment horizontal="center" vertical="center"/>
    </xf>
    <xf numFmtId="10" fontId="5" fillId="0" borderId="0" xfId="0" applyNumberFormat="1" applyFont="1" applyFill="1"/>
    <xf numFmtId="0" fontId="4" fillId="24" borderId="9" xfId="117" quotePrefix="1" applyNumberFormat="1" applyFont="1" applyFill="1" applyBorder="1" applyAlignment="1">
      <alignment horizontal="center" vertical="center"/>
    </xf>
    <xf numFmtId="0" fontId="8" fillId="0" borderId="10" xfId="117" applyFont="1" applyFill="1" applyBorder="1" applyAlignment="1">
      <alignment horizontal="left" vertical="center"/>
    </xf>
    <xf numFmtId="0" fontId="8" fillId="0" borderId="11" xfId="117" applyFont="1" applyFill="1" applyBorder="1" applyAlignment="1">
      <alignment horizontal="center" vertical="center" wrapText="1"/>
    </xf>
    <xf numFmtId="0" fontId="5" fillId="0" borderId="0" xfId="0" applyFont="1" applyFill="1" applyBorder="1"/>
    <xf numFmtId="165" fontId="5" fillId="0" borderId="0" xfId="180" applyFont="1" applyFill="1" applyBorder="1" applyAlignment="1">
      <alignment horizontal="center" vertical="center"/>
    </xf>
    <xf numFmtId="4" fontId="5" fillId="0" borderId="0" xfId="180" applyNumberFormat="1" applyFont="1" applyFill="1" applyBorder="1" applyAlignment="1">
      <alignment horizontal="center"/>
    </xf>
    <xf numFmtId="165" fontId="5" fillId="0" borderId="0" xfId="180" applyFont="1" applyFill="1" applyBorder="1" applyAlignment="1">
      <alignment horizontal="right"/>
    </xf>
    <xf numFmtId="165" fontId="10" fillId="0" borderId="12" xfId="180" applyFont="1" applyFill="1" applyBorder="1" applyAlignment="1">
      <alignment vertical="center"/>
    </xf>
    <xf numFmtId="0" fontId="5" fillId="0" borderId="12" xfId="0" applyFont="1" applyFill="1" applyBorder="1"/>
    <xf numFmtId="0" fontId="4" fillId="24" borderId="9" xfId="117" quotePrefix="1" applyNumberFormat="1" applyFont="1" applyFill="1" applyBorder="1" applyAlignment="1">
      <alignment horizontal="left" vertical="center"/>
    </xf>
    <xf numFmtId="0" fontId="8" fillId="0" borderId="13" xfId="117" applyFont="1" applyFill="1" applyBorder="1" applyAlignment="1">
      <alignment vertical="center"/>
    </xf>
    <xf numFmtId="165" fontId="10" fillId="0" borderId="13" xfId="180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1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180" applyNumberFormat="1" applyFont="1" applyFill="1" applyBorder="1" applyAlignment="1">
      <alignment horizontal="center"/>
    </xf>
    <xf numFmtId="165" fontId="2" fillId="0" borderId="0" xfId="180" applyFont="1" applyFill="1" applyBorder="1" applyAlignment="1">
      <alignment vertical="center"/>
    </xf>
    <xf numFmtId="2" fontId="2" fillId="0" borderId="0" xfId="180" applyNumberFormat="1" applyFont="1" applyFill="1" applyBorder="1" applyAlignment="1">
      <alignment horizontal="right" vertical="center"/>
    </xf>
    <xf numFmtId="1" fontId="15" fillId="25" borderId="16" xfId="0" applyNumberFormat="1" applyFont="1" applyFill="1" applyBorder="1" applyAlignment="1" applyProtection="1">
      <alignment horizontal="center" vertical="center"/>
      <protection locked="0"/>
    </xf>
    <xf numFmtId="167" fontId="15" fillId="25" borderId="9" xfId="0" applyNumberFormat="1" applyFont="1" applyFill="1" applyBorder="1" applyAlignment="1" applyProtection="1">
      <alignment horizontal="center" vertical="center"/>
      <protection locked="0"/>
    </xf>
    <xf numFmtId="0" fontId="15" fillId="25" borderId="9" xfId="0" applyFont="1" applyFill="1" applyBorder="1" applyAlignment="1" applyProtection="1">
      <alignment vertical="center"/>
    </xf>
    <xf numFmtId="0" fontId="15" fillId="25" borderId="9" xfId="0" applyFont="1" applyFill="1" applyBorder="1" applyAlignment="1" applyProtection="1">
      <alignment horizontal="center" vertical="center"/>
    </xf>
    <xf numFmtId="2" fontId="15" fillId="25" borderId="9" xfId="0" applyNumberFormat="1" applyFont="1" applyFill="1" applyBorder="1" applyAlignment="1" applyProtection="1">
      <alignment horizontal="right" vertical="center"/>
    </xf>
    <xf numFmtId="0" fontId="15" fillId="25" borderId="0" xfId="0" applyFont="1" applyFill="1" applyAlignment="1">
      <alignment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5" fontId="2" fillId="0" borderId="9" xfId="180" applyFont="1" applyFill="1" applyBorder="1" applyAlignment="1">
      <alignment horizontal="center" vertical="center"/>
    </xf>
    <xf numFmtId="165" fontId="2" fillId="0" borderId="17" xfId="180" applyFont="1" applyFill="1" applyBorder="1" applyAlignment="1">
      <alignment vertical="center"/>
    </xf>
    <xf numFmtId="4" fontId="2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2" fontId="2" fillId="0" borderId="9" xfId="180" applyNumberFormat="1" applyFont="1" applyFill="1" applyBorder="1" applyAlignment="1">
      <alignment horizontal="right" vertical="center" wrapText="1"/>
    </xf>
    <xf numFmtId="2" fontId="15" fillId="25" borderId="9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6" xfId="117" applyNumberFormat="1" applyFont="1" applyFill="1" applyBorder="1" applyAlignment="1">
      <alignment horizontal="center" vertical="center" wrapText="1"/>
    </xf>
    <xf numFmtId="0" fontId="2" fillId="0" borderId="9" xfId="117" applyNumberFormat="1" applyFont="1" applyFill="1" applyBorder="1" applyAlignment="1">
      <alignment horizontal="center" vertical="center"/>
    </xf>
    <xf numFmtId="2" fontId="2" fillId="0" borderId="9" xfId="180" applyNumberFormat="1" applyFont="1" applyFill="1" applyBorder="1" applyAlignment="1">
      <alignment horizontal="right" vertical="center"/>
    </xf>
    <xf numFmtId="0" fontId="15" fillId="25" borderId="16" xfId="0" applyFont="1" applyFill="1" applyBorder="1" applyAlignment="1">
      <alignment horizontal="center" vertical="center"/>
    </xf>
    <xf numFmtId="0" fontId="15" fillId="25" borderId="9" xfId="0" applyFont="1" applyFill="1" applyBorder="1" applyAlignment="1">
      <alignment horizontal="center" vertical="center"/>
    </xf>
    <xf numFmtId="4" fontId="2" fillId="25" borderId="9" xfId="0" applyNumberFormat="1" applyFont="1" applyFill="1" applyBorder="1" applyAlignment="1">
      <alignment horizontal="center" vertical="center"/>
    </xf>
    <xf numFmtId="0" fontId="2" fillId="25" borderId="9" xfId="0" applyFont="1" applyFill="1" applyBorder="1" applyAlignment="1">
      <alignment horizontal="center" vertical="center" wrapText="1"/>
    </xf>
    <xf numFmtId="0" fontId="15" fillId="25" borderId="9" xfId="0" applyFont="1" applyFill="1" applyBorder="1" applyAlignment="1">
      <alignment horizontal="left" vertical="center" wrapText="1"/>
    </xf>
    <xf numFmtId="4" fontId="2" fillId="25" borderId="9" xfId="0" applyNumberFormat="1" applyFont="1" applyFill="1" applyBorder="1" applyAlignment="1">
      <alignment horizontal="center" vertical="center" wrapText="1"/>
    </xf>
    <xf numFmtId="0" fontId="2" fillId="0" borderId="16" xfId="117" applyNumberFormat="1" applyFont="1" applyFill="1" applyBorder="1" applyAlignment="1">
      <alignment horizontal="center" vertical="center"/>
    </xf>
    <xf numFmtId="4" fontId="2" fillId="25" borderId="18" xfId="0" applyNumberFormat="1" applyFont="1" applyFill="1" applyBorder="1" applyAlignment="1">
      <alignment horizontal="center" vertical="center"/>
    </xf>
    <xf numFmtId="2" fontId="2" fillId="0" borderId="9" xfId="0" applyNumberFormat="1" applyFont="1" applyFill="1" applyBorder="1" applyAlignment="1">
      <alignment horizontal="right" vertical="center" wrapText="1"/>
    </xf>
    <xf numFmtId="0" fontId="15" fillId="25" borderId="16" xfId="0" applyFont="1" applyFill="1" applyBorder="1" applyAlignment="1">
      <alignment horizontal="center" vertical="center" wrapText="1"/>
    </xf>
    <xf numFmtId="4" fontId="2" fillId="25" borderId="19" xfId="0" applyNumberFormat="1" applyFont="1" applyFill="1" applyBorder="1" applyAlignment="1">
      <alignment horizontal="center" vertical="center"/>
    </xf>
    <xf numFmtId="4" fontId="2" fillId="25" borderId="20" xfId="0" applyNumberFormat="1" applyFont="1" applyFill="1" applyBorder="1" applyAlignment="1">
      <alignment horizontal="center" vertical="center"/>
    </xf>
    <xf numFmtId="0" fontId="2" fillId="0" borderId="0" xfId="0" applyFont="1"/>
    <xf numFmtId="165" fontId="2" fillId="0" borderId="0" xfId="180" applyFont="1" applyFill="1" applyBorder="1" applyAlignment="1">
      <alignment horizontal="center" vertical="center"/>
    </xf>
    <xf numFmtId="43" fontId="2" fillId="0" borderId="0" xfId="0" applyNumberFormat="1" applyFont="1" applyFill="1"/>
    <xf numFmtId="4" fontId="2" fillId="0" borderId="0" xfId="0" applyNumberFormat="1" applyFont="1" applyFill="1"/>
    <xf numFmtId="0" fontId="15" fillId="25" borderId="9" xfId="0" applyFont="1" applyFill="1" applyBorder="1" applyAlignment="1">
      <alignment horizontal="center"/>
    </xf>
    <xf numFmtId="2" fontId="15" fillId="25" borderId="9" xfId="0" applyNumberFormat="1" applyFont="1" applyFill="1" applyBorder="1" applyAlignment="1">
      <alignment horizontal="right"/>
    </xf>
    <xf numFmtId="164" fontId="15" fillId="25" borderId="0" xfId="0" applyNumberFormat="1" applyFont="1" applyFill="1"/>
    <xf numFmtId="0" fontId="15" fillId="25" borderId="0" xfId="0" applyFont="1" applyFill="1"/>
    <xf numFmtId="0" fontId="15" fillId="25" borderId="21" xfId="0" applyFont="1" applyFill="1" applyBorder="1" applyAlignment="1">
      <alignment horizontal="center" vertical="center"/>
    </xf>
    <xf numFmtId="0" fontId="15" fillId="25" borderId="22" xfId="0" applyFont="1" applyFill="1" applyBorder="1" applyAlignment="1">
      <alignment horizontal="center" vertical="center"/>
    </xf>
    <xf numFmtId="0" fontId="15" fillId="25" borderId="22" xfId="0" applyFont="1" applyFill="1" applyBorder="1" applyAlignment="1">
      <alignment horizontal="center"/>
    </xf>
    <xf numFmtId="2" fontId="15" fillId="25" borderId="22" xfId="0" applyNumberFormat="1" applyFont="1" applyFill="1" applyBorder="1" applyAlignment="1">
      <alignment horizontal="right"/>
    </xf>
    <xf numFmtId="164" fontId="15" fillId="25" borderId="23" xfId="54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4" fontId="2" fillId="0" borderId="0" xfId="180" applyNumberFormat="1" applyFont="1" applyFill="1" applyAlignment="1">
      <alignment horizontal="center"/>
    </xf>
    <xf numFmtId="165" fontId="2" fillId="0" borderId="0" xfId="180" applyFont="1" applyFill="1" applyAlignment="1">
      <alignment vertical="center"/>
    </xf>
    <xf numFmtId="2" fontId="2" fillId="0" borderId="0" xfId="180" applyNumberFormat="1" applyFont="1" applyFill="1" applyAlignment="1">
      <alignment horizontal="right" vertical="center"/>
    </xf>
    <xf numFmtId="2" fontId="2" fillId="0" borderId="0" xfId="0" applyNumberFormat="1" applyFont="1" applyFill="1" applyAlignment="1">
      <alignment horizontal="right"/>
    </xf>
    <xf numFmtId="2" fontId="15" fillId="0" borderId="0" xfId="180" applyNumberFormat="1" applyFont="1" applyFill="1" applyAlignment="1">
      <alignment horizontal="right" vertical="center"/>
    </xf>
    <xf numFmtId="165" fontId="15" fillId="0" borderId="0" xfId="180" applyFont="1" applyFill="1" applyAlignment="1">
      <alignment vertical="center"/>
    </xf>
    <xf numFmtId="169" fontId="2" fillId="0" borderId="0" xfId="180" applyNumberFormat="1" applyFont="1" applyFill="1" applyAlignment="1">
      <alignment vertical="center"/>
    </xf>
    <xf numFmtId="165" fontId="2" fillId="26" borderId="0" xfId="180" applyFont="1" applyFill="1" applyAlignment="1">
      <alignment vertical="center"/>
    </xf>
    <xf numFmtId="2" fontId="2" fillId="26" borderId="0" xfId="180" applyNumberFormat="1" applyFont="1" applyFill="1" applyAlignment="1">
      <alignment horizontal="right" vertical="center"/>
    </xf>
    <xf numFmtId="0" fontId="15" fillId="0" borderId="15" xfId="0" applyFont="1" applyFill="1" applyBorder="1" applyAlignment="1">
      <alignment horizontal="left" vertical="center"/>
    </xf>
    <xf numFmtId="0" fontId="2" fillId="25" borderId="0" xfId="0" applyFont="1" applyFill="1"/>
    <xf numFmtId="0" fontId="2" fillId="0" borderId="9" xfId="71" applyFont="1" applyFill="1" applyBorder="1" applyAlignment="1">
      <alignment horizontal="center" vertical="center" wrapText="1"/>
    </xf>
    <xf numFmtId="165" fontId="2" fillId="0" borderId="9" xfId="149" applyFont="1" applyFill="1" applyBorder="1" applyAlignment="1">
      <alignment horizontal="center" vertical="center"/>
    </xf>
    <xf numFmtId="4" fontId="2" fillId="0" borderId="9" xfId="117" applyNumberFormat="1" applyFont="1" applyFill="1" applyBorder="1" applyAlignment="1">
      <alignment horizontal="center" vertical="center"/>
    </xf>
    <xf numFmtId="0" fontId="15" fillId="25" borderId="9" xfId="71" applyFont="1" applyFill="1" applyBorder="1" applyAlignment="1">
      <alignment horizontal="center"/>
    </xf>
    <xf numFmtId="10" fontId="15" fillId="25" borderId="9" xfId="121" applyNumberFormat="1" applyFont="1" applyFill="1" applyBorder="1" applyAlignment="1">
      <alignment horizontal="right"/>
    </xf>
    <xf numFmtId="164" fontId="15" fillId="25" borderId="17" xfId="55" applyFont="1" applyFill="1" applyBorder="1" applyAlignment="1">
      <alignment horizontal="center"/>
    </xf>
    <xf numFmtId="4" fontId="15" fillId="25" borderId="17" xfId="180" applyNumberFormat="1" applyFont="1" applyFill="1" applyBorder="1" applyAlignment="1" applyProtection="1">
      <alignment vertical="center"/>
    </xf>
    <xf numFmtId="2" fontId="15" fillId="25" borderId="9" xfId="180" applyNumberFormat="1" applyFont="1" applyFill="1" applyBorder="1" applyAlignment="1" applyProtection="1">
      <alignment horizontal="right" vertical="center"/>
    </xf>
    <xf numFmtId="165" fontId="2" fillId="25" borderId="9" xfId="180" applyFont="1" applyFill="1" applyBorder="1" applyAlignment="1">
      <alignment horizontal="center" vertical="center"/>
    </xf>
    <xf numFmtId="0" fontId="15" fillId="25" borderId="16" xfId="117" applyNumberFormat="1" applyFont="1" applyFill="1" applyBorder="1" applyAlignment="1">
      <alignment horizontal="center" vertical="center"/>
    </xf>
    <xf numFmtId="0" fontId="15" fillId="25" borderId="9" xfId="117" applyNumberFormat="1" applyFont="1" applyFill="1" applyBorder="1" applyAlignment="1">
      <alignment horizontal="center" vertical="center"/>
    </xf>
    <xf numFmtId="4" fontId="2" fillId="25" borderId="9" xfId="117" applyNumberFormat="1" applyFont="1" applyFill="1" applyBorder="1" applyAlignment="1">
      <alignment horizontal="center" vertical="center"/>
    </xf>
    <xf numFmtId="4" fontId="2" fillId="25" borderId="9" xfId="180" applyNumberFormat="1" applyFont="1" applyFill="1" applyBorder="1" applyAlignment="1">
      <alignment horizontal="center" vertical="center"/>
    </xf>
    <xf numFmtId="0" fontId="15" fillId="25" borderId="16" xfId="117" applyNumberFormat="1" applyFont="1" applyFill="1" applyBorder="1" applyAlignment="1">
      <alignment horizontal="center" vertical="center" wrapText="1"/>
    </xf>
    <xf numFmtId="164" fontId="15" fillId="25" borderId="17" xfId="54" applyFont="1" applyFill="1" applyBorder="1" applyAlignment="1">
      <alignment horizontal="center"/>
    </xf>
    <xf numFmtId="2" fontId="2" fillId="0" borderId="9" xfId="180" applyNumberFormat="1" applyFont="1" applyFill="1" applyBorder="1" applyAlignment="1" applyProtection="1">
      <alignment horizontal="right" vertical="center"/>
    </xf>
    <xf numFmtId="0" fontId="17" fillId="0" borderId="0" xfId="0" applyFont="1" applyFill="1" applyBorder="1" applyAlignment="1" applyProtection="1">
      <alignment horizontal="left"/>
      <protection locked="0"/>
    </xf>
    <xf numFmtId="0" fontId="2" fillId="0" borderId="9" xfId="114" applyFont="1" applyFill="1" applyBorder="1" applyAlignment="1">
      <alignment horizontal="center" vertical="center" wrapText="1"/>
    </xf>
    <xf numFmtId="0" fontId="2" fillId="0" borderId="9" xfId="114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/>
    </xf>
    <xf numFmtId="4" fontId="2" fillId="0" borderId="9" xfId="7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8" fillId="0" borderId="12" xfId="117" applyFont="1" applyFill="1" applyBorder="1" applyAlignment="1">
      <alignment vertical="center"/>
    </xf>
    <xf numFmtId="165" fontId="8" fillId="0" borderId="12" xfId="180" applyFont="1" applyFill="1" applyBorder="1" applyAlignment="1">
      <alignment vertical="center"/>
    </xf>
    <xf numFmtId="0" fontId="49" fillId="29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30" borderId="9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31" borderId="0" xfId="0" applyFill="1" applyAlignment="1">
      <alignment horizontal="left"/>
    </xf>
    <xf numFmtId="0" fontId="2" fillId="31" borderId="9" xfId="0" applyFont="1" applyFill="1" applyBorder="1" applyAlignment="1">
      <alignment horizontal="center" vertical="center" wrapText="1"/>
    </xf>
    <xf numFmtId="0" fontId="2" fillId="31" borderId="9" xfId="0" applyFont="1" applyFill="1" applyBorder="1" applyAlignment="1">
      <alignment horizontal="left" vertical="center" wrapText="1"/>
    </xf>
    <xf numFmtId="0" fontId="2" fillId="31" borderId="9" xfId="0" applyFont="1" applyFill="1" applyBorder="1" applyAlignment="1">
      <alignment horizontal="center" vertical="center"/>
    </xf>
    <xf numFmtId="2" fontId="2" fillId="31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181" fontId="2" fillId="0" borderId="9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/>
    </xf>
    <xf numFmtId="0" fontId="0" fillId="30" borderId="9" xfId="0" applyFill="1" applyBorder="1" applyAlignment="1">
      <alignment horizontal="left" vertical="center" wrapText="1"/>
    </xf>
    <xf numFmtId="0" fontId="2" fillId="0" borderId="9" xfId="0" applyFon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31" borderId="9" xfId="0" applyFont="1" applyFill="1" applyBorder="1" applyAlignment="1">
      <alignment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 wrapText="1"/>
    </xf>
    <xf numFmtId="0" fontId="2" fillId="31" borderId="9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31" borderId="9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31" borderId="9" xfId="71" quotePrefix="1" applyFont="1" applyFill="1" applyBorder="1" applyAlignment="1">
      <alignment horizontal="left" vertical="center" wrapText="1"/>
    </xf>
    <xf numFmtId="0" fontId="2" fillId="31" borderId="9" xfId="71" applyFont="1" applyFill="1" applyBorder="1" applyAlignment="1">
      <alignment horizontal="left" vertical="center" wrapText="1"/>
    </xf>
    <xf numFmtId="0" fontId="2" fillId="30" borderId="18" xfId="0" applyFont="1" applyFill="1" applyBorder="1" applyAlignment="1">
      <alignment horizontal="center" vertical="center" wrapText="1"/>
    </xf>
    <xf numFmtId="0" fontId="2" fillId="30" borderId="1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31" borderId="9" xfId="0" applyFill="1" applyBorder="1" applyAlignment="1">
      <alignment horizontal="center" wrapText="1"/>
    </xf>
    <xf numFmtId="0" fontId="0" fillId="0" borderId="9" xfId="0" applyBorder="1" applyAlignment="1">
      <alignment horizontal="center"/>
    </xf>
    <xf numFmtId="2" fontId="2" fillId="0" borderId="9" xfId="0" applyNumberFormat="1" applyFont="1" applyBorder="1" applyAlignment="1">
      <alignment horizontal="center" vertical="center"/>
    </xf>
    <xf numFmtId="2" fontId="0" fillId="31" borderId="9" xfId="0" applyNumberForma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39" fillId="0" borderId="9" xfId="0" applyNumberFormat="1" applyFont="1" applyFill="1" applyBorder="1" applyAlignment="1">
      <alignment horizontal="center" vertical="center"/>
    </xf>
    <xf numFmtId="4" fontId="39" fillId="0" borderId="9" xfId="188" applyNumberFormat="1" applyFont="1" applyFill="1" applyBorder="1" applyAlignment="1">
      <alignment horizontal="center" vertical="center"/>
    </xf>
    <xf numFmtId="0" fontId="39" fillId="0" borderId="9" xfId="0" applyFont="1" applyFill="1" applyBorder="1" applyAlignment="1">
      <alignment horizontal="center" vertical="center"/>
    </xf>
    <xf numFmtId="0" fontId="40" fillId="0" borderId="9" xfId="0" applyFont="1" applyFill="1" applyBorder="1" applyAlignment="1">
      <alignment horizontal="center" vertical="center" wrapText="1"/>
    </xf>
    <xf numFmtId="2" fontId="50" fillId="0" borderId="9" xfId="0" applyNumberFormat="1" applyFont="1" applyFill="1" applyBorder="1" applyAlignment="1">
      <alignment horizontal="center" vertical="center"/>
    </xf>
    <xf numFmtId="0" fontId="50" fillId="0" borderId="9" xfId="0" applyFont="1" applyFill="1" applyBorder="1" applyAlignment="1">
      <alignment horizontal="center" vertical="center"/>
    </xf>
    <xf numFmtId="0" fontId="40" fillId="31" borderId="9" xfId="0" applyFont="1" applyFill="1" applyBorder="1" applyAlignment="1">
      <alignment horizontal="center" vertical="center" wrapText="1"/>
    </xf>
    <xf numFmtId="2" fontId="39" fillId="0" borderId="9" xfId="0" applyNumberFormat="1" applyFont="1" applyFill="1" applyBorder="1" applyAlignment="1">
      <alignment horizontal="center" vertical="center" wrapText="1"/>
    </xf>
    <xf numFmtId="4" fontId="39" fillId="0" borderId="9" xfId="188" applyNumberFormat="1" applyFont="1" applyFill="1" applyBorder="1" applyAlignment="1">
      <alignment horizontal="center" vertical="center" wrapText="1"/>
    </xf>
    <xf numFmtId="0" fontId="39" fillId="0" borderId="9" xfId="0" applyFont="1" applyFill="1" applyBorder="1" applyAlignment="1">
      <alignment horizontal="center" vertical="center" wrapText="1"/>
    </xf>
    <xf numFmtId="0" fontId="40" fillId="0" borderId="9" xfId="0" applyFont="1" applyFill="1" applyBorder="1" applyAlignment="1">
      <alignment horizontal="center" vertical="center"/>
    </xf>
    <xf numFmtId="165" fontId="40" fillId="0" borderId="9" xfId="188" applyNumberFormat="1" applyFont="1" applyFill="1" applyBorder="1" applyAlignment="1">
      <alignment horizontal="center" vertical="center"/>
    </xf>
    <xf numFmtId="2" fontId="40" fillId="0" borderId="9" xfId="0" applyNumberFormat="1" applyFont="1" applyFill="1" applyBorder="1" applyAlignment="1">
      <alignment horizontal="center" vertical="center"/>
    </xf>
    <xf numFmtId="2" fontId="40" fillId="31" borderId="9" xfId="0" applyNumberFormat="1" applyFont="1" applyFill="1" applyBorder="1" applyAlignment="1">
      <alignment horizontal="right" vertical="center"/>
    </xf>
    <xf numFmtId="0" fontId="40" fillId="31" borderId="10" xfId="0" applyFont="1" applyFill="1" applyBorder="1" applyAlignment="1">
      <alignment horizontal="center" vertical="center" wrapText="1"/>
    </xf>
    <xf numFmtId="0" fontId="40" fillId="0" borderId="24" xfId="0" applyFont="1" applyFill="1" applyBorder="1" applyAlignment="1">
      <alignment horizontal="center" vertical="center"/>
    </xf>
    <xf numFmtId="1" fontId="39" fillId="32" borderId="9" xfId="0" applyNumberFormat="1" applyFont="1" applyFill="1" applyBorder="1" applyAlignment="1" applyProtection="1">
      <alignment horizontal="center" vertical="center"/>
      <protection locked="0"/>
    </xf>
    <xf numFmtId="1" fontId="39" fillId="0" borderId="9" xfId="0" applyNumberFormat="1" applyFont="1" applyFill="1" applyBorder="1" applyAlignment="1" applyProtection="1">
      <alignment horizontal="center" vertical="center"/>
      <protection locked="0"/>
    </xf>
    <xf numFmtId="0" fontId="39" fillId="0" borderId="9" xfId="0" applyFont="1" applyFill="1" applyBorder="1" applyAlignment="1">
      <alignment horizontal="left" vertical="center" wrapText="1"/>
    </xf>
    <xf numFmtId="0" fontId="40" fillId="31" borderId="9" xfId="0" applyFont="1" applyFill="1" applyBorder="1" applyAlignment="1">
      <alignment horizontal="center" vertical="center"/>
    </xf>
    <xf numFmtId="0" fontId="39" fillId="0" borderId="9" xfId="0" applyFont="1" applyFill="1" applyBorder="1" applyAlignment="1">
      <alignment horizontal="left" vertical="center"/>
    </xf>
    <xf numFmtId="4" fontId="40" fillId="0" borderId="9" xfId="188" applyNumberFormat="1" applyFont="1" applyFill="1" applyBorder="1" applyAlignment="1">
      <alignment horizontal="center" vertical="center"/>
    </xf>
    <xf numFmtId="1" fontId="39" fillId="31" borderId="9" xfId="0" applyNumberFormat="1" applyFont="1" applyFill="1" applyBorder="1" applyAlignment="1" applyProtection="1">
      <alignment horizontal="center" vertical="center"/>
      <protection locked="0"/>
    </xf>
    <xf numFmtId="0" fontId="39" fillId="31" borderId="9" xfId="0" applyFont="1" applyFill="1" applyBorder="1" applyAlignment="1">
      <alignment horizontal="left" vertical="center"/>
    </xf>
    <xf numFmtId="2" fontId="40" fillId="31" borderId="9" xfId="0" applyNumberFormat="1" applyFont="1" applyFill="1" applyBorder="1" applyAlignment="1">
      <alignment horizontal="center" vertical="center"/>
    </xf>
    <xf numFmtId="165" fontId="40" fillId="31" borderId="9" xfId="188" applyNumberFormat="1" applyFont="1" applyFill="1" applyBorder="1" applyAlignment="1">
      <alignment horizontal="center" vertical="center"/>
    </xf>
    <xf numFmtId="4" fontId="40" fillId="31" borderId="9" xfId="188" applyNumberFormat="1" applyFont="1" applyFill="1" applyBorder="1" applyAlignment="1">
      <alignment horizontal="center" vertical="center"/>
    </xf>
    <xf numFmtId="0" fontId="40" fillId="31" borderId="11" xfId="0" applyFont="1" applyFill="1" applyBorder="1" applyAlignment="1">
      <alignment horizontal="center" vertical="center"/>
    </xf>
    <xf numFmtId="0" fontId="39" fillId="31" borderId="11" xfId="0" applyFont="1" applyFill="1" applyBorder="1" applyAlignment="1">
      <alignment horizontal="left" vertical="center"/>
    </xf>
    <xf numFmtId="2" fontId="40" fillId="31" borderId="11" xfId="0" applyNumberFormat="1" applyFont="1" applyFill="1" applyBorder="1" applyAlignment="1">
      <alignment horizontal="center" vertical="center"/>
    </xf>
    <xf numFmtId="0" fontId="40" fillId="31" borderId="24" xfId="0" applyFont="1" applyFill="1" applyBorder="1" applyAlignment="1">
      <alignment horizontal="center" vertical="center"/>
    </xf>
    <xf numFmtId="4" fontId="39" fillId="31" borderId="9" xfId="188" applyNumberFormat="1" applyFont="1" applyFill="1" applyBorder="1" applyAlignment="1">
      <alignment horizontal="center" vertical="center"/>
    </xf>
    <xf numFmtId="0" fontId="39" fillId="31" borderId="9" xfId="0" applyFont="1" applyFill="1" applyBorder="1" applyAlignment="1">
      <alignment horizontal="center" vertical="center"/>
    </xf>
    <xf numFmtId="0" fontId="40" fillId="0" borderId="9" xfId="0" applyFont="1" applyFill="1" applyBorder="1" applyAlignment="1">
      <alignment horizontal="left" vertical="center"/>
    </xf>
    <xf numFmtId="2" fontId="50" fillId="31" borderId="9" xfId="0" applyNumberFormat="1" applyFont="1" applyFill="1" applyBorder="1" applyAlignment="1">
      <alignment horizontal="center" vertical="center"/>
    </xf>
    <xf numFmtId="1" fontId="40" fillId="0" borderId="9" xfId="0" applyNumberFormat="1" applyFont="1" applyFill="1" applyBorder="1" applyAlignment="1" applyProtection="1">
      <alignment horizontal="center" vertical="center"/>
      <protection locked="0"/>
    </xf>
    <xf numFmtId="0" fontId="50" fillId="31" borderId="9" xfId="0" applyFont="1" applyFill="1" applyBorder="1" applyAlignment="1">
      <alignment horizontal="center" vertical="center"/>
    </xf>
    <xf numFmtId="2" fontId="39" fillId="0" borderId="9" xfId="0" applyNumberFormat="1" applyFont="1" applyFill="1" applyBorder="1" applyAlignment="1">
      <alignment horizontal="left" vertical="center"/>
    </xf>
    <xf numFmtId="2" fontId="40" fillId="31" borderId="10" xfId="0" applyNumberFormat="1" applyFont="1" applyFill="1" applyBorder="1" applyAlignment="1">
      <alignment horizontal="center" vertical="center"/>
    </xf>
    <xf numFmtId="2" fontId="39" fillId="0" borderId="9" xfId="0" applyNumberFormat="1" applyFont="1" applyFill="1" applyBorder="1" applyAlignment="1">
      <alignment horizontal="left" vertical="center" wrapText="1"/>
    </xf>
    <xf numFmtId="0" fontId="40" fillId="0" borderId="9" xfId="0" applyFont="1" applyFill="1" applyBorder="1" applyAlignment="1">
      <alignment horizontal="left" vertical="center" wrapText="1"/>
    </xf>
    <xf numFmtId="2" fontId="40" fillId="0" borderId="18" xfId="0" applyNumberFormat="1" applyFont="1" applyFill="1" applyBorder="1" applyAlignment="1">
      <alignment horizontal="center" vertical="center"/>
    </xf>
    <xf numFmtId="0" fontId="40" fillId="0" borderId="10" xfId="0" applyFont="1" applyFill="1" applyBorder="1" applyAlignment="1">
      <alignment horizontal="center" vertical="center" wrapText="1"/>
    </xf>
    <xf numFmtId="0" fontId="0" fillId="0" borderId="9" xfId="0" applyBorder="1"/>
    <xf numFmtId="2" fontId="40" fillId="0" borderId="10" xfId="0" applyNumberFormat="1" applyFont="1" applyFill="1" applyBorder="1" applyAlignment="1">
      <alignment horizontal="center" vertical="center"/>
    </xf>
    <xf numFmtId="0" fontId="49" fillId="29" borderId="0" xfId="0" applyFont="1" applyFill="1" applyAlignment="1">
      <alignment vertical="center" wrapText="1"/>
    </xf>
    <xf numFmtId="0" fontId="2" fillId="0" borderId="0" xfId="0" applyFont="1" applyAlignment="1">
      <alignment wrapText="1"/>
    </xf>
    <xf numFmtId="165" fontId="0" fillId="0" borderId="0" xfId="0" applyNumberFormat="1"/>
    <xf numFmtId="0" fontId="2" fillId="0" borderId="9" xfId="117" applyNumberFormat="1" applyFont="1" applyFill="1" applyBorder="1" applyAlignment="1">
      <alignment horizontal="center" vertical="center" wrapText="1"/>
    </xf>
    <xf numFmtId="0" fontId="0" fillId="0" borderId="20" xfId="0" applyBorder="1"/>
    <xf numFmtId="2" fontId="0" fillId="0" borderId="9" xfId="0" applyNumberFormat="1" applyBorder="1"/>
    <xf numFmtId="43" fontId="0" fillId="0" borderId="0" xfId="0" applyNumberFormat="1"/>
    <xf numFmtId="0" fontId="2" fillId="31" borderId="0" xfId="0" applyFont="1" applyFill="1"/>
    <xf numFmtId="0" fontId="2" fillId="31" borderId="16" xfId="0" applyFont="1" applyFill="1" applyBorder="1" applyAlignment="1">
      <alignment horizontal="center" vertical="center" wrapText="1"/>
    </xf>
    <xf numFmtId="165" fontId="2" fillId="31" borderId="9" xfId="180" applyFont="1" applyFill="1" applyBorder="1" applyAlignment="1">
      <alignment horizontal="center" vertical="center"/>
    </xf>
    <xf numFmtId="2" fontId="2" fillId="31" borderId="9" xfId="149" applyNumberFormat="1" applyFont="1" applyFill="1" applyBorder="1" applyAlignment="1">
      <alignment horizontal="right" vertical="center"/>
    </xf>
    <xf numFmtId="165" fontId="2" fillId="31" borderId="17" xfId="180" applyFont="1" applyFill="1" applyBorder="1" applyAlignment="1">
      <alignment vertical="center"/>
    </xf>
    <xf numFmtId="0" fontId="2" fillId="33" borderId="0" xfId="0" applyFont="1" applyFill="1"/>
    <xf numFmtId="0" fontId="2" fillId="0" borderId="0" xfId="0" applyFont="1" applyFill="1" applyBorder="1" applyAlignment="1">
      <alignment vertical="center"/>
    </xf>
    <xf numFmtId="0" fontId="15" fillId="25" borderId="9" xfId="117" applyFont="1" applyFill="1" applyBorder="1" applyAlignment="1">
      <alignment horizontal="left" vertical="center"/>
    </xf>
    <xf numFmtId="0" fontId="2" fillId="31" borderId="9" xfId="117" applyFont="1" applyFill="1" applyBorder="1" applyAlignment="1">
      <alignment horizontal="left" vertical="center" wrapText="1"/>
    </xf>
    <xf numFmtId="0" fontId="2" fillId="31" borderId="0" xfId="0" applyFont="1" applyFill="1" applyAlignment="1">
      <alignment vertical="center" wrapText="1"/>
    </xf>
    <xf numFmtId="0" fontId="15" fillId="25" borderId="9" xfId="0" applyFont="1" applyFill="1" applyBorder="1" applyAlignment="1">
      <alignment vertical="center"/>
    </xf>
    <xf numFmtId="0" fontId="15" fillId="25" borderId="22" xfId="0" applyFont="1" applyFill="1" applyBorder="1" applyAlignment="1">
      <alignment vertical="center"/>
    </xf>
    <xf numFmtId="4" fontId="2" fillId="31" borderId="9" xfId="0" applyNumberFormat="1" applyFont="1" applyFill="1" applyBorder="1" applyAlignment="1">
      <alignment horizontal="center" vertical="center" wrapText="1"/>
    </xf>
    <xf numFmtId="2" fontId="2" fillId="31" borderId="9" xfId="180" applyNumberFormat="1" applyFont="1" applyFill="1" applyBorder="1" applyAlignment="1">
      <alignment horizontal="right" vertical="center"/>
    </xf>
    <xf numFmtId="165" fontId="2" fillId="31" borderId="9" xfId="180" applyFont="1" applyFill="1" applyBorder="1" applyAlignment="1">
      <alignment horizontal="center" vertical="center" wrapText="1"/>
    </xf>
    <xf numFmtId="165" fontId="2" fillId="31" borderId="17" xfId="180" applyFont="1" applyFill="1" applyBorder="1" applyAlignment="1">
      <alignment vertical="center" wrapText="1"/>
    </xf>
    <xf numFmtId="0" fontId="2" fillId="31" borderId="16" xfId="117" applyNumberFormat="1" applyFont="1" applyFill="1" applyBorder="1" applyAlignment="1">
      <alignment horizontal="center" vertical="center" wrapText="1"/>
    </xf>
    <xf numFmtId="0" fontId="0" fillId="31" borderId="0" xfId="0" applyFill="1"/>
    <xf numFmtId="0" fontId="2" fillId="30" borderId="9" xfId="0" applyFont="1" applyFill="1" applyBorder="1" applyAlignment="1">
      <alignment horizontal="center" vertical="center"/>
    </xf>
    <xf numFmtId="0" fontId="2" fillId="30" borderId="9" xfId="0" applyFont="1" applyFill="1" applyBorder="1" applyAlignment="1">
      <alignment horizontal="center" vertical="center" wrapText="1"/>
    </xf>
    <xf numFmtId="2" fontId="39" fillId="0" borderId="11" xfId="0" applyNumberFormat="1" applyFont="1" applyFill="1" applyBorder="1" applyAlignment="1">
      <alignment horizontal="center" vertical="center"/>
    </xf>
    <xf numFmtId="0" fontId="39" fillId="0" borderId="11" xfId="0" applyFont="1" applyFill="1" applyBorder="1" applyAlignment="1">
      <alignment horizontal="left" vertical="center" wrapText="1"/>
    </xf>
    <xf numFmtId="2" fontId="39" fillId="31" borderId="9" xfId="0" applyNumberFormat="1" applyFont="1" applyFill="1" applyBorder="1" applyAlignment="1">
      <alignment horizontal="center" vertical="center"/>
    </xf>
    <xf numFmtId="2" fontId="39" fillId="31" borderId="11" xfId="0" applyNumberFormat="1" applyFont="1" applyFill="1" applyBorder="1" applyAlignment="1">
      <alignment horizontal="left" vertical="center" wrapText="1"/>
    </xf>
    <xf numFmtId="0" fontId="39" fillId="31" borderId="9" xfId="0" applyFont="1" applyFill="1" applyBorder="1" applyAlignment="1">
      <alignment horizontal="left" vertical="center" wrapText="1"/>
    </xf>
    <xf numFmtId="0" fontId="2" fillId="31" borderId="16" xfId="117" applyNumberFormat="1" applyFont="1" applyFill="1" applyBorder="1" applyAlignment="1">
      <alignment horizontal="center" vertical="center"/>
    </xf>
    <xf numFmtId="0" fontId="2" fillId="31" borderId="9" xfId="117" applyNumberFormat="1" applyFont="1" applyFill="1" applyBorder="1" applyAlignment="1">
      <alignment horizontal="center" vertical="center"/>
    </xf>
    <xf numFmtId="165" fontId="2" fillId="31" borderId="0" xfId="0" applyNumberFormat="1" applyFont="1" applyFill="1"/>
    <xf numFmtId="2" fontId="39" fillId="31" borderId="9" xfId="0" applyNumberFormat="1" applyFont="1" applyFill="1" applyBorder="1" applyAlignment="1">
      <alignment horizontal="left" vertical="center" wrapText="1"/>
    </xf>
    <xf numFmtId="4" fontId="39" fillId="31" borderId="9" xfId="188" applyNumberFormat="1" applyFont="1" applyFill="1" applyBorder="1" applyAlignment="1">
      <alignment horizontal="center" vertical="center" wrapText="1"/>
    </xf>
    <xf numFmtId="2" fontId="2" fillId="31" borderId="9" xfId="0" applyNumberFormat="1" applyFont="1" applyFill="1" applyBorder="1" applyAlignment="1">
      <alignment horizontal="right" vertical="center" wrapText="1"/>
    </xf>
    <xf numFmtId="0" fontId="15" fillId="31" borderId="0" xfId="0" applyFont="1" applyFill="1" applyAlignment="1">
      <alignment vertical="center"/>
    </xf>
    <xf numFmtId="0" fontId="2" fillId="31" borderId="9" xfId="0" applyFont="1" applyFill="1" applyBorder="1" applyAlignment="1">
      <alignment horizontal="right" vertical="center" wrapText="1"/>
    </xf>
    <xf numFmtId="0" fontId="2" fillId="31" borderId="0" xfId="0" applyFont="1" applyFill="1" applyAlignment="1">
      <alignment vertical="center"/>
    </xf>
    <xf numFmtId="2" fontId="2" fillId="31" borderId="9" xfId="180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2" fillId="30" borderId="9" xfId="0" applyFont="1" applyFill="1" applyBorder="1" applyAlignment="1">
      <alignment vertical="center" wrapText="1"/>
    </xf>
    <xf numFmtId="0" fontId="2" fillId="31" borderId="9" xfId="0" applyFont="1" applyFill="1" applyBorder="1" applyAlignment="1">
      <alignment vertical="center" wrapText="1"/>
    </xf>
    <xf numFmtId="1" fontId="15" fillId="31" borderId="16" xfId="0" applyNumberFormat="1" applyFont="1" applyFill="1" applyBorder="1" applyAlignment="1" applyProtection="1">
      <alignment horizontal="center" vertical="center"/>
      <protection locked="0"/>
    </xf>
    <xf numFmtId="167" fontId="15" fillId="31" borderId="9" xfId="0" applyNumberFormat="1" applyFont="1" applyFill="1" applyBorder="1" applyAlignment="1" applyProtection="1">
      <alignment horizontal="center" vertical="center"/>
      <protection locked="0"/>
    </xf>
    <xf numFmtId="0" fontId="15" fillId="31" borderId="9" xfId="0" applyFont="1" applyFill="1" applyBorder="1" applyAlignment="1" applyProtection="1">
      <alignment vertical="center"/>
    </xf>
    <xf numFmtId="2" fontId="15" fillId="31" borderId="9" xfId="180" applyNumberFormat="1" applyFont="1" applyFill="1" applyBorder="1" applyAlignment="1" applyProtection="1">
      <alignment horizontal="right" vertical="center"/>
    </xf>
    <xf numFmtId="4" fontId="15" fillId="31" borderId="17" xfId="180" applyNumberFormat="1" applyFont="1" applyFill="1" applyBorder="1" applyAlignment="1" applyProtection="1">
      <alignment vertical="center"/>
    </xf>
    <xf numFmtId="1" fontId="2" fillId="31" borderId="16" xfId="0" applyNumberFormat="1" applyFont="1" applyFill="1" applyBorder="1" applyAlignment="1" applyProtection="1">
      <alignment horizontal="center" vertical="center"/>
      <protection locked="0"/>
    </xf>
    <xf numFmtId="167" fontId="2" fillId="31" borderId="9" xfId="0" applyNumberFormat="1" applyFont="1" applyFill="1" applyBorder="1" applyAlignment="1" applyProtection="1">
      <alignment horizontal="center" vertical="center"/>
      <protection locked="0"/>
    </xf>
    <xf numFmtId="0" fontId="2" fillId="31" borderId="9" xfId="0" applyFont="1" applyFill="1" applyBorder="1" applyAlignment="1" applyProtection="1">
      <alignment vertical="center" wrapText="1"/>
    </xf>
    <xf numFmtId="2" fontId="2" fillId="31" borderId="9" xfId="180" applyNumberFormat="1" applyFont="1" applyFill="1" applyBorder="1" applyAlignment="1" applyProtection="1">
      <alignment horizontal="right" vertical="center"/>
    </xf>
    <xf numFmtId="4" fontId="15" fillId="25" borderId="9" xfId="0" applyNumberFormat="1" applyFont="1" applyFill="1" applyBorder="1" applyAlignment="1" applyProtection="1">
      <alignment vertical="center"/>
    </xf>
    <xf numFmtId="165" fontId="2" fillId="31" borderId="9" xfId="180" applyFont="1" applyFill="1" applyBorder="1" applyAlignment="1">
      <alignment vertical="center"/>
    </xf>
    <xf numFmtId="4" fontId="15" fillId="25" borderId="9" xfId="180" applyNumberFormat="1" applyFont="1" applyFill="1" applyBorder="1" applyAlignment="1" applyProtection="1">
      <alignment vertical="center"/>
    </xf>
    <xf numFmtId="4" fontId="2" fillId="31" borderId="9" xfId="180" applyNumberFormat="1" applyFont="1" applyFill="1" applyBorder="1" applyAlignment="1" applyProtection="1">
      <alignment vertical="center"/>
    </xf>
    <xf numFmtId="165" fontId="2" fillId="0" borderId="9" xfId="180" applyFont="1" applyFill="1" applyBorder="1" applyAlignment="1">
      <alignment vertical="center"/>
    </xf>
    <xf numFmtId="4" fontId="2" fillId="0" borderId="9" xfId="180" applyNumberFormat="1" applyFont="1" applyFill="1" applyBorder="1" applyAlignment="1" applyProtection="1">
      <alignment vertical="center"/>
    </xf>
    <xf numFmtId="165" fontId="2" fillId="31" borderId="9" xfId="180" applyFont="1" applyFill="1" applyBorder="1" applyAlignment="1">
      <alignment vertical="center" wrapText="1"/>
    </xf>
    <xf numFmtId="0" fontId="15" fillId="25" borderId="9" xfId="0" applyFont="1" applyFill="1" applyBorder="1" applyAlignment="1"/>
    <xf numFmtId="0" fontId="15" fillId="25" borderId="9" xfId="71" applyFont="1" applyFill="1" applyBorder="1" applyAlignment="1"/>
    <xf numFmtId="0" fontId="15" fillId="25" borderId="22" xfId="0" applyFont="1" applyFill="1" applyBorder="1" applyAlignment="1"/>
    <xf numFmtId="0" fontId="15" fillId="0" borderId="0" xfId="0" applyFont="1" applyFill="1" applyAlignment="1">
      <alignment vertical="center"/>
    </xf>
    <xf numFmtId="0" fontId="2" fillId="0" borderId="0" xfId="0" applyFont="1" applyFill="1" applyAlignment="1"/>
    <xf numFmtId="2" fontId="2" fillId="31" borderId="9" xfId="149" applyNumberFormat="1" applyFont="1" applyFill="1" applyBorder="1" applyAlignment="1">
      <alignment horizontal="right" vertical="center" wrapText="1"/>
    </xf>
    <xf numFmtId="0" fontId="15" fillId="31" borderId="9" xfId="0" applyFont="1" applyFill="1" applyBorder="1" applyAlignment="1">
      <alignment vertical="center" wrapText="1"/>
    </xf>
    <xf numFmtId="165" fontId="2" fillId="31" borderId="0" xfId="0" applyNumberFormat="1" applyFont="1" applyFill="1" applyAlignment="1">
      <alignment vertical="center"/>
    </xf>
    <xf numFmtId="0" fontId="15" fillId="31" borderId="9" xfId="0" applyFont="1" applyFill="1" applyBorder="1" applyAlignment="1">
      <alignment horizontal="left" vertical="center" wrapText="1"/>
    </xf>
    <xf numFmtId="2" fontId="15" fillId="31" borderId="9" xfId="0" applyNumberFormat="1" applyFont="1" applyFill="1" applyBorder="1" applyAlignment="1" applyProtection="1">
      <alignment horizontal="center" vertical="center"/>
    </xf>
    <xf numFmtId="4" fontId="15" fillId="31" borderId="9" xfId="180" applyNumberFormat="1" applyFont="1" applyFill="1" applyBorder="1" applyAlignment="1" applyProtection="1">
      <alignment vertical="center"/>
    </xf>
    <xf numFmtId="165" fontId="2" fillId="31" borderId="9" xfId="19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1" borderId="16" xfId="117" applyNumberFormat="1" applyFont="1" applyFill="1" applyBorder="1" applyAlignment="1">
      <alignment horizontal="center" vertical="center"/>
    </xf>
    <xf numFmtId="0" fontId="15" fillId="31" borderId="9" xfId="117" applyNumberFormat="1" applyFont="1" applyFill="1" applyBorder="1" applyAlignment="1">
      <alignment horizontal="center" vertical="center"/>
    </xf>
    <xf numFmtId="0" fontId="15" fillId="31" borderId="9" xfId="117" applyFont="1" applyFill="1" applyBorder="1" applyAlignment="1">
      <alignment horizontal="left" vertical="center"/>
    </xf>
    <xf numFmtId="4" fontId="2" fillId="31" borderId="9" xfId="117" applyNumberFormat="1" applyFont="1" applyFill="1" applyBorder="1" applyAlignment="1">
      <alignment horizontal="center" vertical="center"/>
    </xf>
    <xf numFmtId="0" fontId="49" fillId="29" borderId="9" xfId="0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9" xfId="0" applyBorder="1" applyAlignment="1">
      <alignment vertical="center"/>
    </xf>
    <xf numFmtId="0" fontId="16" fillId="0" borderId="0" xfId="0" applyFont="1" applyAlignment="1">
      <alignment horizontal="center" vertical="center"/>
    </xf>
    <xf numFmtId="190" fontId="0" fillId="0" borderId="9" xfId="0" applyNumberFormat="1" applyBorder="1" applyAlignment="1">
      <alignment horizontal="center" vertical="center"/>
    </xf>
    <xf numFmtId="0" fontId="2" fillId="31" borderId="16" xfId="0" applyFont="1" applyFill="1" applyBorder="1" applyAlignment="1">
      <alignment horizontal="center" vertical="center"/>
    </xf>
    <xf numFmtId="2" fontId="2" fillId="31" borderId="9" xfId="148" applyNumberFormat="1" applyFont="1" applyFill="1" applyBorder="1" applyAlignment="1">
      <alignment horizontal="right" vertical="center"/>
    </xf>
    <xf numFmtId="1" fontId="39" fillId="0" borderId="9" xfId="0" applyNumberFormat="1" applyFont="1" applyFill="1" applyBorder="1" applyAlignment="1" applyProtection="1">
      <alignment horizontal="left" vertical="center"/>
      <protection locked="0"/>
    </xf>
    <xf numFmtId="0" fontId="2" fillId="31" borderId="9" xfId="0" applyFont="1" applyFill="1" applyBorder="1" applyAlignment="1">
      <alignment horizontal="center"/>
    </xf>
    <xf numFmtId="0" fontId="2" fillId="31" borderId="0" xfId="117" applyNumberFormat="1" applyFont="1" applyFill="1" applyBorder="1" applyAlignment="1">
      <alignment horizontal="center" vertical="center"/>
    </xf>
    <xf numFmtId="43" fontId="2" fillId="31" borderId="0" xfId="0" applyNumberFormat="1" applyFont="1" applyFill="1"/>
    <xf numFmtId="0" fontId="15" fillId="0" borderId="0" xfId="0" applyFont="1" applyFill="1" applyBorder="1" applyAlignment="1">
      <alignment horizontal="center" vertical="center"/>
    </xf>
    <xf numFmtId="0" fontId="15" fillId="25" borderId="9" xfId="117" applyFont="1" applyFill="1" applyBorder="1" applyAlignment="1">
      <alignment horizontal="center"/>
    </xf>
    <xf numFmtId="0" fontId="2" fillId="33" borderId="0" xfId="0" applyFont="1" applyFill="1" applyAlignment="1">
      <alignment wrapText="1"/>
    </xf>
    <xf numFmtId="4" fontId="2" fillId="31" borderId="9" xfId="87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81" fontId="2" fillId="31" borderId="9" xfId="0" applyNumberFormat="1" applyFont="1" applyFill="1" applyBorder="1" applyAlignment="1">
      <alignment horizontal="center" vertical="center"/>
    </xf>
    <xf numFmtId="2" fontId="2" fillId="31" borderId="9" xfId="0" applyNumberFormat="1" applyFont="1" applyFill="1" applyBorder="1" applyAlignment="1">
      <alignment vertical="center" wrapText="1"/>
    </xf>
    <xf numFmtId="43" fontId="39" fillId="31" borderId="9" xfId="188" applyNumberFormat="1" applyFont="1" applyFill="1" applyBorder="1" applyAlignment="1">
      <alignment horizontal="center" vertical="center"/>
    </xf>
    <xf numFmtId="43" fontId="40" fillId="31" borderId="9" xfId="0" applyNumberFormat="1" applyFont="1" applyFill="1" applyBorder="1" applyAlignment="1">
      <alignment horizontal="center" vertical="center"/>
    </xf>
    <xf numFmtId="0" fontId="50" fillId="0" borderId="9" xfId="0" applyFont="1" applyFill="1" applyBorder="1" applyAlignment="1">
      <alignment horizontal="center" vertical="center" wrapText="1"/>
    </xf>
    <xf numFmtId="4" fontId="50" fillId="0" borderId="9" xfId="0" applyNumberFormat="1" applyFont="1" applyFill="1" applyBorder="1" applyAlignment="1">
      <alignment horizontal="right" vertical="center"/>
    </xf>
    <xf numFmtId="4" fontId="50" fillId="0" borderId="9" xfId="188" applyNumberFormat="1" applyFont="1" applyFill="1" applyBorder="1" applyAlignment="1">
      <alignment horizontal="center" vertical="center"/>
    </xf>
    <xf numFmtId="4" fontId="40" fillId="0" borderId="9" xfId="0" applyNumberFormat="1" applyFont="1" applyFill="1" applyBorder="1" applyAlignment="1">
      <alignment horizontal="right" vertical="center"/>
    </xf>
    <xf numFmtId="0" fontId="39" fillId="0" borderId="9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left" vertical="center"/>
    </xf>
    <xf numFmtId="0" fontId="39" fillId="0" borderId="9" xfId="0" applyFont="1" applyBorder="1" applyAlignment="1">
      <alignment horizontal="center" vertical="center"/>
    </xf>
    <xf numFmtId="0" fontId="39" fillId="0" borderId="9" xfId="0" applyFont="1" applyBorder="1" applyAlignment="1">
      <alignment vertical="center"/>
    </xf>
    <xf numFmtId="0" fontId="39" fillId="32" borderId="9" xfId="0" applyFont="1" applyFill="1" applyBorder="1" applyAlignment="1">
      <alignment horizontal="center" vertical="center"/>
    </xf>
    <xf numFmtId="0" fontId="2" fillId="31" borderId="9" xfId="71" applyFont="1" applyFill="1" applyBorder="1" applyAlignment="1">
      <alignment horizontal="center" vertical="center" wrapText="1"/>
    </xf>
    <xf numFmtId="0" fontId="2" fillId="31" borderId="9" xfId="71" applyFont="1" applyFill="1" applyBorder="1" applyAlignment="1">
      <alignment vertical="center" wrapText="1"/>
    </xf>
    <xf numFmtId="0" fontId="2" fillId="30" borderId="9" xfId="0" applyFont="1" applyFill="1" applyBorder="1" applyAlignment="1">
      <alignment horizontal="center" vertical="center"/>
    </xf>
    <xf numFmtId="0" fontId="2" fillId="30" borderId="9" xfId="0" applyFont="1" applyFill="1" applyBorder="1" applyAlignment="1">
      <alignment horizontal="center" vertical="center" wrapText="1"/>
    </xf>
    <xf numFmtId="2" fontId="39" fillId="31" borderId="9" xfId="0" applyNumberFormat="1" applyFont="1" applyFill="1" applyBorder="1" applyAlignment="1">
      <alignment horizontal="center" vertical="center"/>
    </xf>
    <xf numFmtId="0" fontId="39" fillId="31" borderId="9" xfId="0" applyFont="1" applyFill="1" applyBorder="1" applyAlignment="1">
      <alignment horizontal="left" vertical="center" wrapText="1"/>
    </xf>
    <xf numFmtId="0" fontId="15" fillId="25" borderId="9" xfId="0" applyFont="1" applyFill="1" applyBorder="1" applyAlignment="1">
      <alignment horizontal="center" vertical="center" wrapText="1"/>
    </xf>
    <xf numFmtId="2" fontId="40" fillId="0" borderId="12" xfId="0" applyNumberFormat="1" applyFont="1" applyFill="1" applyBorder="1" applyAlignment="1">
      <alignment horizontal="center" vertical="center"/>
    </xf>
    <xf numFmtId="2" fontId="40" fillId="0" borderId="11" xfId="0" applyNumberFormat="1" applyFont="1" applyFill="1" applyBorder="1" applyAlignment="1">
      <alignment horizontal="center" vertical="center"/>
    </xf>
    <xf numFmtId="4" fontId="40" fillId="0" borderId="11" xfId="188" applyNumberFormat="1" applyFont="1" applyFill="1" applyBorder="1" applyAlignment="1">
      <alignment horizontal="center" vertical="center"/>
    </xf>
    <xf numFmtId="4" fontId="39" fillId="0" borderId="11" xfId="188" applyNumberFormat="1" applyFont="1" applyFill="1" applyBorder="1" applyAlignment="1">
      <alignment horizontal="center" vertical="center"/>
    </xf>
    <xf numFmtId="0" fontId="15" fillId="31" borderId="0" xfId="0" applyFont="1" applyFill="1"/>
    <xf numFmtId="0" fontId="2" fillId="31" borderId="0" xfId="0" applyFont="1" applyFill="1" applyBorder="1"/>
    <xf numFmtId="0" fontId="2" fillId="31" borderId="9" xfId="71" applyFont="1" applyFill="1" applyBorder="1" applyAlignment="1">
      <alignment horizontal="center" vertical="center"/>
    </xf>
    <xf numFmtId="0" fontId="2" fillId="31" borderId="9" xfId="71" applyFont="1" applyFill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9" xfId="0" applyBorder="1" applyAlignment="1">
      <alignment horizontal="left" wrapText="1"/>
    </xf>
    <xf numFmtId="0" fontId="0" fillId="0" borderId="9" xfId="0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" fontId="2" fillId="31" borderId="9" xfId="0" applyNumberFormat="1" applyFont="1" applyFill="1" applyBorder="1" applyAlignment="1">
      <alignment horizontal="center" vertical="center"/>
    </xf>
    <xf numFmtId="4" fontId="2" fillId="31" borderId="17" xfId="180" applyNumberFormat="1" applyFont="1" applyFill="1" applyBorder="1" applyAlignment="1" applyProtection="1">
      <alignment horizontal="right" vertical="center"/>
    </xf>
    <xf numFmtId="0" fontId="2" fillId="0" borderId="9" xfId="0" applyFont="1" applyFill="1" applyBorder="1" applyAlignment="1">
      <alignment horizontal="left" vertical="center" wrapText="1"/>
    </xf>
    <xf numFmtId="0" fontId="40" fillId="0" borderId="9" xfId="0" applyFont="1" applyBorder="1" applyAlignment="1">
      <alignment horizontal="right" vertical="center"/>
    </xf>
    <xf numFmtId="0" fontId="50" fillId="0" borderId="9" xfId="0" applyFont="1" applyBorder="1" applyAlignment="1">
      <alignment horizontal="center" vertical="center"/>
    </xf>
    <xf numFmtId="43" fontId="40" fillId="0" borderId="9" xfId="0" applyNumberFormat="1" applyFont="1" applyBorder="1" applyAlignment="1">
      <alignment horizontal="right" vertical="center"/>
    </xf>
    <xf numFmtId="0" fontId="40" fillId="0" borderId="9" xfId="0" applyFont="1" applyBorder="1" applyAlignment="1">
      <alignment horizontal="center" vertical="center"/>
    </xf>
    <xf numFmtId="178" fontId="40" fillId="0" borderId="9" xfId="0" applyNumberFormat="1" applyFont="1" applyBorder="1" applyAlignment="1">
      <alignment vertical="center"/>
    </xf>
    <xf numFmtId="165" fontId="40" fillId="0" borderId="9" xfId="188" applyNumberFormat="1" applyFont="1" applyBorder="1" applyAlignment="1">
      <alignment horizontal="center" vertical="center"/>
    </xf>
    <xf numFmtId="0" fontId="40" fillId="0" borderId="9" xfId="0" applyFont="1" applyBorder="1" applyAlignment="1">
      <alignment horizontal="left" vertical="center"/>
    </xf>
    <xf numFmtId="0" fontId="2" fillId="0" borderId="9" xfId="0" applyFont="1" applyFill="1" applyBorder="1" applyAlignment="1">
      <alignment wrapText="1"/>
    </xf>
    <xf numFmtId="2" fontId="2" fillId="0" borderId="9" xfId="149" applyNumberFormat="1" applyFont="1" applyFill="1" applyBorder="1" applyAlignment="1">
      <alignment horizontal="right" vertical="center"/>
    </xf>
    <xf numFmtId="2" fontId="39" fillId="31" borderId="9" xfId="0" applyNumberFormat="1" applyFont="1" applyFill="1" applyBorder="1" applyAlignment="1">
      <alignment horizontal="left" vertical="center"/>
    </xf>
    <xf numFmtId="165" fontId="2" fillId="0" borderId="9" xfId="180" applyFont="1" applyFill="1" applyBorder="1" applyAlignment="1">
      <alignment horizontal="center" vertical="center" wrapText="1"/>
    </xf>
    <xf numFmtId="0" fontId="2" fillId="31" borderId="9" xfId="117" applyNumberFormat="1" applyFont="1" applyFill="1" applyBorder="1" applyAlignment="1">
      <alignment horizontal="center" vertical="center" wrapText="1"/>
    </xf>
    <xf numFmtId="4" fontId="2" fillId="31" borderId="9" xfId="180" applyNumberFormat="1" applyFont="1" applyFill="1" applyBorder="1" applyAlignment="1" applyProtection="1">
      <alignment horizontal="right" vertical="center"/>
    </xf>
    <xf numFmtId="178" fontId="0" fillId="0" borderId="9" xfId="0" applyNumberFormat="1" applyBorder="1"/>
    <xf numFmtId="0" fontId="48" fillId="0" borderId="9" xfId="0" applyFont="1" applyBorder="1"/>
    <xf numFmtId="178" fontId="48" fillId="0" borderId="9" xfId="0" applyNumberFormat="1" applyFont="1" applyBorder="1"/>
    <xf numFmtId="2" fontId="48" fillId="0" borderId="9" xfId="0" applyNumberFormat="1" applyFont="1" applyBorder="1"/>
    <xf numFmtId="0" fontId="0" fillId="0" borderId="9" xfId="0" applyFill="1" applyBorder="1"/>
    <xf numFmtId="178" fontId="0" fillId="0" borderId="9" xfId="0" applyNumberFormat="1" applyFill="1" applyBorder="1"/>
    <xf numFmtId="1" fontId="0" fillId="0" borderId="9" xfId="0" applyNumberFormat="1" applyFill="1" applyBorder="1"/>
    <xf numFmtId="1" fontId="0" fillId="0" borderId="9" xfId="0" applyNumberFormat="1" applyBorder="1"/>
    <xf numFmtId="178" fontId="0" fillId="0" borderId="9" xfId="0" applyNumberFormat="1" applyBorder="1" applyAlignment="1">
      <alignment vertical="center" wrapText="1"/>
    </xf>
    <xf numFmtId="2" fontId="0" fillId="0" borderId="9" xfId="0" applyNumberFormat="1" applyFill="1" applyBorder="1"/>
    <xf numFmtId="0" fontId="0" fillId="0" borderId="9" xfId="0" applyFont="1" applyBorder="1"/>
    <xf numFmtId="0" fontId="0" fillId="0" borderId="9" xfId="0" applyFont="1" applyFill="1" applyBorder="1"/>
    <xf numFmtId="178" fontId="0" fillId="0" borderId="9" xfId="0" applyNumberFormat="1" applyFont="1" applyBorder="1"/>
    <xf numFmtId="2" fontId="0" fillId="0" borderId="9" xfId="0" applyNumberFormat="1" applyFont="1" applyBorder="1"/>
    <xf numFmtId="178" fontId="0" fillId="0" borderId="20" xfId="0" applyNumberFormat="1" applyFont="1" applyBorder="1"/>
    <xf numFmtId="0" fontId="0" fillId="0" borderId="0" xfId="0" applyBorder="1"/>
    <xf numFmtId="178" fontId="0" fillId="0" borderId="0" xfId="0" applyNumberFormat="1"/>
    <xf numFmtId="2" fontId="0" fillId="0" borderId="0" xfId="0" applyNumberFormat="1"/>
    <xf numFmtId="4" fontId="0" fillId="31" borderId="0" xfId="0" applyNumberFormat="1" applyFill="1"/>
    <xf numFmtId="2" fontId="15" fillId="0" borderId="9" xfId="0" applyNumberFormat="1" applyFont="1" applyFill="1" applyBorder="1" applyAlignment="1">
      <alignment horizontal="center"/>
    </xf>
    <xf numFmtId="178" fontId="15" fillId="0" borderId="9" xfId="0" applyNumberFormat="1" applyFont="1" applyBorder="1" applyAlignment="1">
      <alignment horizontal="center" vertical="center"/>
    </xf>
    <xf numFmtId="0" fontId="2" fillId="30" borderId="9" xfId="0" applyFont="1" applyFill="1" applyBorder="1" applyAlignment="1">
      <alignment horizontal="left" vertical="center"/>
    </xf>
    <xf numFmtId="0" fontId="15" fillId="34" borderId="9" xfId="0" applyFont="1" applyFill="1" applyBorder="1" applyAlignment="1">
      <alignment horizontal="left" vertical="center"/>
    </xf>
    <xf numFmtId="0" fontId="2" fillId="30" borderId="9" xfId="0" applyFont="1" applyFill="1" applyBorder="1" applyAlignment="1">
      <alignment horizontal="center" vertical="center"/>
    </xf>
    <xf numFmtId="0" fontId="2" fillId="30" borderId="9" xfId="0" applyFont="1" applyFill="1" applyBorder="1" applyAlignment="1">
      <alignment horizontal="center" vertical="center" wrapText="1"/>
    </xf>
    <xf numFmtId="4" fontId="15" fillId="25" borderId="0" xfId="0" applyNumberFormat="1" applyFont="1" applyFill="1" applyAlignment="1">
      <alignment vertical="center"/>
    </xf>
    <xf numFmtId="4" fontId="15" fillId="31" borderId="0" xfId="0" applyNumberFormat="1" applyFont="1" applyFill="1" applyAlignment="1">
      <alignment vertical="center"/>
    </xf>
    <xf numFmtId="178" fontId="2" fillId="0" borderId="0" xfId="0" applyNumberFormat="1" applyFont="1"/>
    <xf numFmtId="0" fontId="50" fillId="31" borderId="9" xfId="0" applyFont="1" applyFill="1" applyBorder="1" applyAlignment="1">
      <alignment horizontal="left" vertical="center" wrapText="1"/>
    </xf>
    <xf numFmtId="0" fontId="39" fillId="31" borderId="9" xfId="0" applyFont="1" applyFill="1" applyBorder="1" applyAlignment="1">
      <alignment horizontal="center" vertical="center" wrapText="1"/>
    </xf>
    <xf numFmtId="0" fontId="51" fillId="0" borderId="16" xfId="0" applyFont="1" applyBorder="1" applyAlignment="1">
      <alignment horizontal="center"/>
    </xf>
    <xf numFmtId="2" fontId="51" fillId="0" borderId="9" xfId="0" applyNumberFormat="1" applyFont="1" applyBorder="1" applyAlignment="1">
      <alignment horizontal="center"/>
    </xf>
    <xf numFmtId="0" fontId="51" fillId="0" borderId="9" xfId="0" applyFont="1" applyBorder="1" applyAlignment="1">
      <alignment horizontal="center"/>
    </xf>
    <xf numFmtId="0" fontId="51" fillId="0" borderId="9" xfId="0" applyFont="1" applyBorder="1"/>
    <xf numFmtId="0" fontId="51" fillId="0" borderId="17" xfId="0" applyFont="1" applyBorder="1"/>
    <xf numFmtId="0" fontId="51" fillId="0" borderId="16" xfId="0" applyFont="1" applyBorder="1"/>
    <xf numFmtId="2" fontId="51" fillId="0" borderId="9" xfId="0" applyNumberFormat="1" applyFont="1" applyBorder="1"/>
    <xf numFmtId="0" fontId="51" fillId="0" borderId="21" xfId="0" applyFont="1" applyBorder="1"/>
    <xf numFmtId="2" fontId="51" fillId="0" borderId="22" xfId="0" applyNumberFormat="1" applyFont="1" applyBorder="1"/>
    <xf numFmtId="0" fontId="51" fillId="0" borderId="22" xfId="0" applyFont="1" applyBorder="1"/>
    <xf numFmtId="0" fontId="51" fillId="0" borderId="23" xfId="0" applyFont="1" applyBorder="1"/>
    <xf numFmtId="0" fontId="51" fillId="0" borderId="0" xfId="0" applyFont="1"/>
    <xf numFmtId="2" fontId="51" fillId="0" borderId="0" xfId="0" applyNumberFormat="1" applyFont="1"/>
    <xf numFmtId="0" fontId="51" fillId="0" borderId="0" xfId="0" applyFont="1" applyBorder="1"/>
    <xf numFmtId="2" fontId="51" fillId="0" borderId="0" xfId="0" applyNumberFormat="1" applyFont="1" applyBorder="1"/>
    <xf numFmtId="0" fontId="51" fillId="0" borderId="16" xfId="0" applyFont="1" applyBorder="1" applyAlignment="1">
      <alignment vertical="justify"/>
    </xf>
    <xf numFmtId="0" fontId="2" fillId="0" borderId="9" xfId="0" applyFont="1" applyBorder="1"/>
    <xf numFmtId="178" fontId="2" fillId="0" borderId="9" xfId="0" applyNumberFormat="1" applyFont="1" applyFill="1" applyBorder="1"/>
    <xf numFmtId="2" fontId="52" fillId="0" borderId="9" xfId="0" applyNumberFormat="1" applyFont="1" applyBorder="1"/>
    <xf numFmtId="0" fontId="2" fillId="0" borderId="20" xfId="0" applyFont="1" applyBorder="1"/>
    <xf numFmtId="178" fontId="2" fillId="0" borderId="20" xfId="0" applyNumberFormat="1" applyFont="1" applyFill="1" applyBorder="1"/>
    <xf numFmtId="0" fontId="2" fillId="0" borderId="0" xfId="0" applyFont="1" applyBorder="1"/>
    <xf numFmtId="0" fontId="53" fillId="0" borderId="9" xfId="0" applyFont="1" applyFill="1" applyBorder="1"/>
    <xf numFmtId="2" fontId="53" fillId="0" borderId="9" xfId="0" applyNumberFormat="1" applyFont="1" applyBorder="1"/>
    <xf numFmtId="2" fontId="2" fillId="0" borderId="0" xfId="0" applyNumberFormat="1" applyFont="1"/>
    <xf numFmtId="0" fontId="4" fillId="34" borderId="20" xfId="0" applyFont="1" applyFill="1" applyBorder="1" applyAlignment="1">
      <alignment horizontal="center" vertical="center"/>
    </xf>
    <xf numFmtId="0" fontId="4" fillId="34" borderId="20" xfId="117" applyFont="1" applyFill="1" applyBorder="1" applyAlignment="1">
      <alignment horizontal="center" vertical="center" wrapText="1"/>
    </xf>
    <xf numFmtId="165" fontId="4" fillId="34" borderId="20" xfId="180" applyFont="1" applyFill="1" applyBorder="1" applyAlignment="1">
      <alignment horizontal="center" vertical="center" wrapText="1"/>
    </xf>
    <xf numFmtId="4" fontId="4" fillId="34" borderId="20" xfId="180" applyNumberFormat="1" applyFont="1" applyFill="1" applyBorder="1" applyAlignment="1">
      <alignment horizontal="center" vertical="center" wrapText="1"/>
    </xf>
    <xf numFmtId="0" fontId="7" fillId="34" borderId="9" xfId="0" applyFont="1" applyFill="1" applyBorder="1" applyAlignment="1">
      <alignment horizontal="center" vertical="center"/>
    </xf>
    <xf numFmtId="0" fontId="7" fillId="34" borderId="9" xfId="0" applyFont="1" applyFill="1" applyBorder="1"/>
    <xf numFmtId="165" fontId="4" fillId="34" borderId="9" xfId="180" applyFont="1" applyFill="1" applyBorder="1" applyAlignment="1">
      <alignment horizontal="center" vertical="center"/>
    </xf>
    <xf numFmtId="10" fontId="4" fillId="35" borderId="9" xfId="121" applyNumberFormat="1" applyFont="1" applyFill="1" applyBorder="1" applyAlignment="1">
      <alignment horizontal="center" vertical="center"/>
    </xf>
    <xf numFmtId="165" fontId="4" fillId="34" borderId="9" xfId="180" applyFont="1" applyFill="1" applyBorder="1" applyAlignment="1">
      <alignment horizontal="center"/>
    </xf>
    <xf numFmtId="9" fontId="4" fillId="34" borderId="9" xfId="121" applyFont="1" applyFill="1" applyBorder="1" applyAlignment="1">
      <alignment horizontal="center" vertical="center"/>
    </xf>
    <xf numFmtId="0" fontId="5" fillId="31" borderId="0" xfId="0" applyFont="1" applyFill="1"/>
    <xf numFmtId="0" fontId="12" fillId="31" borderId="0" xfId="0" applyFont="1" applyFill="1"/>
    <xf numFmtId="0" fontId="13" fillId="31" borderId="0" xfId="0" applyFont="1" applyFill="1"/>
    <xf numFmtId="0" fontId="7" fillId="31" borderId="0" xfId="0" applyFont="1" applyFill="1"/>
    <xf numFmtId="0" fontId="5" fillId="34" borderId="0" xfId="0" applyFont="1" applyFill="1"/>
    <xf numFmtId="0" fontId="9" fillId="34" borderId="25" xfId="117" applyFont="1" applyFill="1" applyBorder="1" applyAlignment="1">
      <alignment vertical="center" wrapText="1"/>
    </xf>
    <xf numFmtId="0" fontId="9" fillId="34" borderId="26" xfId="117" applyFont="1" applyFill="1" applyBorder="1" applyAlignment="1">
      <alignment horizontal="center" vertical="center" wrapText="1"/>
    </xf>
    <xf numFmtId="0" fontId="9" fillId="34" borderId="26" xfId="117" applyFont="1" applyFill="1" applyBorder="1" applyAlignment="1">
      <alignment vertical="center" wrapText="1"/>
    </xf>
    <xf numFmtId="0" fontId="9" fillId="34" borderId="27" xfId="117" applyFont="1" applyFill="1" applyBorder="1" applyAlignment="1">
      <alignment vertical="center" wrapText="1"/>
    </xf>
    <xf numFmtId="0" fontId="4" fillId="34" borderId="22" xfId="0" applyFont="1" applyFill="1" applyBorder="1" applyAlignment="1">
      <alignment horizontal="center"/>
    </xf>
    <xf numFmtId="0" fontId="4" fillId="34" borderId="23" xfId="0" applyFont="1" applyFill="1" applyBorder="1" applyAlignment="1">
      <alignment horizontal="center"/>
    </xf>
    <xf numFmtId="0" fontId="7" fillId="34" borderId="0" xfId="0" applyFont="1" applyFill="1"/>
    <xf numFmtId="0" fontId="2" fillId="30" borderId="9" xfId="0" applyFont="1" applyFill="1" applyBorder="1"/>
    <xf numFmtId="0" fontId="2" fillId="30" borderId="24" xfId="0" applyFont="1" applyFill="1" applyBorder="1"/>
    <xf numFmtId="49" fontId="15" fillId="30" borderId="28" xfId="180" applyNumberFormat="1" applyFont="1" applyFill="1" applyBorder="1" applyAlignment="1">
      <alignment horizontal="center" vertical="center"/>
    </xf>
    <xf numFmtId="165" fontId="4" fillId="0" borderId="13" xfId="180" applyFont="1" applyFill="1" applyBorder="1" applyAlignment="1">
      <alignment vertical="center"/>
    </xf>
    <xf numFmtId="190" fontId="0" fillId="0" borderId="9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5" fillId="25" borderId="16" xfId="117" applyFont="1" applyFill="1" applyBorder="1" applyAlignment="1">
      <alignment horizontal="center" vertical="center"/>
    </xf>
    <xf numFmtId="0" fontId="2" fillId="31" borderId="0" xfId="0" applyFont="1" applyFill="1" applyBorder="1" applyAlignment="1">
      <alignment horizontal="center" vertical="center" wrapText="1"/>
    </xf>
    <xf numFmtId="49" fontId="2" fillId="0" borderId="9" xfId="71" applyNumberFormat="1" applyFont="1" applyFill="1" applyBorder="1" applyAlignment="1">
      <alignment horizontal="center" vertical="center" wrapText="1"/>
    </xf>
    <xf numFmtId="0" fontId="2" fillId="0" borderId="9" xfId="71" applyFont="1" applyFill="1" applyBorder="1" applyAlignment="1">
      <alignment vertical="center" wrapText="1"/>
    </xf>
    <xf numFmtId="43" fontId="2" fillId="0" borderId="9" xfId="199" applyFont="1" applyFill="1" applyBorder="1" applyAlignment="1">
      <alignment horizontal="center" vertical="center" wrapText="1"/>
    </xf>
    <xf numFmtId="4" fontId="2" fillId="0" borderId="9" xfId="87" applyNumberFormat="1" applyFont="1" applyFill="1" applyBorder="1" applyAlignment="1">
      <alignment vertical="center" wrapText="1"/>
    </xf>
    <xf numFmtId="0" fontId="2" fillId="28" borderId="0" xfId="0" applyFont="1" applyFill="1" applyAlignment="1">
      <alignment wrapText="1"/>
    </xf>
    <xf numFmtId="43" fontId="2" fillId="25" borderId="0" xfId="0" applyNumberFormat="1" applyFont="1" applyFill="1"/>
    <xf numFmtId="43" fontId="2" fillId="28" borderId="0" xfId="0" applyNumberFormat="1" applyFont="1" applyFill="1" applyAlignment="1">
      <alignment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9" xfId="71" applyFont="1" applyFill="1" applyBorder="1" applyAlignment="1">
      <alignment horizontal="left" vertical="center" wrapText="1"/>
    </xf>
    <xf numFmtId="43" fontId="2" fillId="0" borderId="9" xfId="191" applyFont="1" applyFill="1" applyBorder="1" applyAlignment="1">
      <alignment horizontal="center" vertical="center" wrapText="1"/>
    </xf>
    <xf numFmtId="2" fontId="2" fillId="25" borderId="0" xfId="0" applyNumberFormat="1" applyFont="1" applyFill="1"/>
    <xf numFmtId="2" fontId="2" fillId="28" borderId="0" xfId="0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9" xfId="114" applyNumberFormat="1" applyFont="1" applyFill="1" applyBorder="1" applyAlignment="1">
      <alignment horizontal="center" vertical="center" wrapText="1"/>
    </xf>
    <xf numFmtId="43" fontId="2" fillId="0" borderId="24" xfId="199" applyFont="1" applyFill="1" applyBorder="1" applyAlignment="1">
      <alignment horizontal="center" vertical="center" wrapText="1"/>
    </xf>
    <xf numFmtId="0" fontId="3" fillId="0" borderId="9" xfId="114" applyFont="1" applyFill="1" applyBorder="1" applyAlignment="1">
      <alignment horizontal="center" vertical="center" wrapText="1"/>
    </xf>
    <xf numFmtId="0" fontId="42" fillId="36" borderId="9" xfId="0" applyFont="1" applyFill="1" applyBorder="1" applyAlignment="1">
      <alignment horizontal="center" vertical="center" wrapText="1"/>
    </xf>
    <xf numFmtId="49" fontId="43" fillId="0" borderId="9" xfId="0" applyNumberFormat="1" applyFont="1" applyFill="1" applyBorder="1" applyAlignment="1">
      <alignment horizontal="center" vertical="center" wrapText="1"/>
    </xf>
    <xf numFmtId="0" fontId="43" fillId="0" borderId="9" xfId="0" applyFont="1" applyFill="1" applyBorder="1" applyAlignment="1">
      <alignment horizontal="center" vertical="center" wrapText="1"/>
    </xf>
    <xf numFmtId="0" fontId="42" fillId="25" borderId="9" xfId="0" applyFont="1" applyFill="1" applyBorder="1" applyAlignment="1">
      <alignment horizontal="center" vertical="center" wrapText="1"/>
    </xf>
    <xf numFmtId="164" fontId="42" fillId="25" borderId="9" xfId="54" applyFont="1" applyFill="1" applyBorder="1" applyAlignment="1">
      <alignment horizontal="right" vertical="center" wrapText="1"/>
    </xf>
    <xf numFmtId="0" fontId="43" fillId="0" borderId="9" xfId="0" applyFont="1" applyBorder="1" applyAlignment="1">
      <alignment horizontal="left" vertical="center" wrapText="1"/>
    </xf>
    <xf numFmtId="165" fontId="43" fillId="0" borderId="9" xfId="180" applyFont="1" applyFill="1" applyBorder="1" applyAlignment="1">
      <alignment vertical="center" wrapText="1"/>
    </xf>
    <xf numFmtId="0" fontId="43" fillId="0" borderId="9" xfId="0" applyFont="1" applyBorder="1" applyAlignment="1">
      <alignment horizontal="center" vertical="center" wrapText="1"/>
    </xf>
    <xf numFmtId="164" fontId="43" fillId="0" borderId="9" xfId="54" applyFont="1" applyBorder="1" applyAlignment="1">
      <alignment horizontal="right" vertical="center" wrapText="1"/>
    </xf>
    <xf numFmtId="196" fontId="43" fillId="0" borderId="9" xfId="0" applyNumberFormat="1" applyFont="1" applyBorder="1" applyAlignment="1">
      <alignment vertical="center" wrapText="1"/>
    </xf>
    <xf numFmtId="165" fontId="43" fillId="0" borderId="9" xfId="180" applyFont="1" applyBorder="1" applyAlignment="1">
      <alignment vertical="center" wrapText="1"/>
    </xf>
    <xf numFmtId="0" fontId="43" fillId="0" borderId="9" xfId="0" quotePrefix="1" applyFont="1" applyBorder="1" applyAlignment="1">
      <alignment horizontal="center" vertical="center" wrapText="1"/>
    </xf>
    <xf numFmtId="164" fontId="43" fillId="0" borderId="9" xfId="54" applyFont="1" applyBorder="1" applyAlignment="1">
      <alignment horizontal="center" vertical="center"/>
    </xf>
    <xf numFmtId="0" fontId="43" fillId="0" borderId="0" xfId="0" applyFont="1" applyAlignment="1">
      <alignment wrapText="1"/>
    </xf>
    <xf numFmtId="164" fontId="43" fillId="0" borderId="0" xfId="54" applyFont="1" applyAlignment="1">
      <alignment horizontal="right" wrapText="1"/>
    </xf>
    <xf numFmtId="0" fontId="43" fillId="0" borderId="0" xfId="0" applyFont="1" applyAlignment="1">
      <alignment horizontal="center" vertical="center" wrapText="1"/>
    </xf>
    <xf numFmtId="0" fontId="43" fillId="0" borderId="0" xfId="0" applyFont="1"/>
    <xf numFmtId="164" fontId="43" fillId="0" borderId="0" xfId="68" applyFont="1" applyAlignment="1">
      <alignment horizontal="right"/>
    </xf>
    <xf numFmtId="0" fontId="43" fillId="0" borderId="0" xfId="0" applyFont="1" applyAlignment="1">
      <alignment horizontal="center" vertical="center"/>
    </xf>
    <xf numFmtId="0" fontId="44" fillId="25" borderId="9" xfId="0" applyFont="1" applyFill="1" applyBorder="1" applyAlignment="1">
      <alignment horizontal="center" vertical="center" wrapText="1"/>
    </xf>
    <xf numFmtId="0" fontId="43" fillId="0" borderId="9" xfId="0" applyFont="1" applyFill="1" applyBorder="1" applyAlignment="1">
      <alignment horizontal="left" vertical="center" wrapText="1"/>
    </xf>
    <xf numFmtId="49" fontId="43" fillId="0" borderId="0" xfId="0" applyNumberFormat="1" applyFont="1" applyFill="1" applyAlignment="1">
      <alignment horizontal="center" vertical="center" wrapText="1"/>
    </xf>
    <xf numFmtId="164" fontId="42" fillId="25" borderId="9" xfId="68" applyFont="1" applyFill="1" applyBorder="1" applyAlignment="1">
      <alignment horizontal="right" vertical="center" wrapText="1"/>
    </xf>
    <xf numFmtId="164" fontId="43" fillId="0" borderId="9" xfId="68" applyFont="1" applyBorder="1" applyAlignment="1">
      <alignment horizontal="right" vertical="center" wrapText="1"/>
    </xf>
    <xf numFmtId="0" fontId="43" fillId="0" borderId="9" xfId="0" applyFont="1" applyBorder="1" applyAlignment="1">
      <alignment horizontal="center" vertical="center"/>
    </xf>
    <xf numFmtId="164" fontId="43" fillId="0" borderId="0" xfId="68" applyFont="1" applyAlignment="1">
      <alignment horizontal="right" wrapText="1"/>
    </xf>
    <xf numFmtId="0" fontId="43" fillId="0" borderId="9" xfId="0" quotePrefix="1" applyFont="1" applyFill="1" applyBorder="1" applyAlignment="1">
      <alignment horizontal="center" vertical="center" wrapText="1"/>
    </xf>
    <xf numFmtId="164" fontId="43" fillId="0" borderId="9" xfId="68" applyFont="1" applyFill="1" applyBorder="1" applyAlignment="1">
      <alignment horizontal="right" vertical="center" wrapText="1"/>
    </xf>
    <xf numFmtId="0" fontId="0" fillId="31" borderId="9" xfId="0" applyFill="1" applyBorder="1" applyAlignment="1">
      <alignment horizontal="left" vertical="center" wrapText="1"/>
    </xf>
    <xf numFmtId="0" fontId="0" fillId="31" borderId="9" xfId="0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9" xfId="0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42" fillId="36" borderId="9" xfId="0" applyFont="1" applyFill="1" applyBorder="1" applyAlignment="1">
      <alignment horizontal="left" vertical="center" wrapText="1"/>
    </xf>
    <xf numFmtId="0" fontId="42" fillId="25" borderId="9" xfId="0" applyFont="1" applyFill="1" applyBorder="1" applyAlignment="1">
      <alignment horizontal="left" vertical="center" wrapText="1"/>
    </xf>
    <xf numFmtId="0" fontId="43" fillId="0" borderId="0" xfId="0" applyFont="1" applyAlignment="1">
      <alignment horizontal="left" wrapText="1"/>
    </xf>
    <xf numFmtId="0" fontId="43" fillId="0" borderId="0" xfId="0" applyFont="1" applyAlignment="1">
      <alignment horizontal="left"/>
    </xf>
    <xf numFmtId="0" fontId="43" fillId="0" borderId="9" xfId="0" applyFont="1" applyBorder="1" applyAlignment="1">
      <alignment horizontal="left" wrapText="1"/>
    </xf>
    <xf numFmtId="43" fontId="2" fillId="31" borderId="0" xfId="0" applyNumberFormat="1" applyFont="1" applyFill="1" applyAlignment="1">
      <alignment vertical="center"/>
    </xf>
    <xf numFmtId="0" fontId="0" fillId="0" borderId="9" xfId="0" applyBorder="1" applyAlignment="1">
      <alignment horizontal="left"/>
    </xf>
    <xf numFmtId="0" fontId="2" fillId="0" borderId="9" xfId="0" applyFont="1" applyFill="1" applyBorder="1" applyAlignment="1">
      <alignment horizontal="center"/>
    </xf>
    <xf numFmtId="0" fontId="0" fillId="0" borderId="9" xfId="0" applyFill="1" applyBorder="1" applyAlignment="1">
      <alignment horizontal="left" wrapText="1"/>
    </xf>
    <xf numFmtId="0" fontId="5" fillId="34" borderId="29" xfId="0" applyFont="1" applyFill="1" applyBorder="1" applyAlignment="1">
      <alignment horizontal="center" vertical="center"/>
    </xf>
    <xf numFmtId="0" fontId="4" fillId="34" borderId="30" xfId="0" applyFont="1" applyFill="1" applyBorder="1"/>
    <xf numFmtId="165" fontId="4" fillId="34" borderId="30" xfId="180" applyFont="1" applyFill="1" applyBorder="1" applyAlignment="1">
      <alignment horizontal="center" vertical="center"/>
    </xf>
    <xf numFmtId="4" fontId="4" fillId="34" borderId="30" xfId="180" applyNumberFormat="1" applyFont="1" applyFill="1" applyBorder="1" applyAlignment="1">
      <alignment horizontal="center"/>
    </xf>
    <xf numFmtId="165" fontId="4" fillId="34" borderId="30" xfId="180" applyFont="1" applyFill="1" applyBorder="1" applyAlignment="1">
      <alignment horizontal="right"/>
    </xf>
    <xf numFmtId="10" fontId="5" fillId="34" borderId="30" xfId="0" applyNumberFormat="1" applyFont="1" applyFill="1" applyBorder="1" applyAlignment="1">
      <alignment horizontal="center"/>
    </xf>
    <xf numFmtId="2" fontId="5" fillId="34" borderId="30" xfId="0" applyNumberFormat="1" applyFont="1" applyFill="1" applyBorder="1"/>
    <xf numFmtId="165" fontId="5" fillId="34" borderId="30" xfId="0" applyNumberFormat="1" applyFont="1" applyFill="1" applyBorder="1"/>
    <xf numFmtId="165" fontId="5" fillId="34" borderId="30" xfId="180" applyFont="1" applyFill="1" applyBorder="1"/>
    <xf numFmtId="165" fontId="4" fillId="0" borderId="31" xfId="180" applyFont="1" applyFill="1" applyBorder="1" applyAlignment="1">
      <alignment vertical="center"/>
    </xf>
    <xf numFmtId="165" fontId="10" fillId="0" borderId="32" xfId="180" applyFont="1" applyFill="1" applyBorder="1" applyAlignment="1">
      <alignment vertical="center"/>
    </xf>
    <xf numFmtId="0" fontId="8" fillId="0" borderId="33" xfId="117" applyFont="1" applyFill="1" applyBorder="1" applyAlignment="1">
      <alignment vertical="center"/>
    </xf>
    <xf numFmtId="165" fontId="8" fillId="0" borderId="34" xfId="180" applyFont="1" applyFill="1" applyBorder="1" applyAlignment="1">
      <alignment horizontal="right" vertical="center"/>
    </xf>
    <xf numFmtId="0" fontId="7" fillId="34" borderId="35" xfId="0" applyFont="1" applyFill="1" applyBorder="1" applyAlignment="1">
      <alignment horizontal="center" vertical="center"/>
    </xf>
    <xf numFmtId="0" fontId="4" fillId="34" borderId="36" xfId="0" applyFont="1" applyFill="1" applyBorder="1"/>
    <xf numFmtId="165" fontId="4" fillId="34" borderId="36" xfId="180" applyFont="1" applyFill="1" applyBorder="1" applyAlignment="1">
      <alignment horizontal="center" vertical="center"/>
    </xf>
    <xf numFmtId="9" fontId="4" fillId="34" borderId="36" xfId="121" applyFont="1" applyFill="1" applyBorder="1" applyAlignment="1">
      <alignment horizontal="center" vertical="center"/>
    </xf>
    <xf numFmtId="165" fontId="4" fillId="34" borderId="36" xfId="180" applyFont="1" applyFill="1" applyBorder="1" applyAlignment="1">
      <alignment horizontal="center"/>
    </xf>
    <xf numFmtId="10" fontId="5" fillId="34" borderId="36" xfId="121" applyNumberFormat="1" applyFont="1" applyFill="1" applyBorder="1" applyAlignment="1">
      <alignment horizontal="center"/>
    </xf>
    <xf numFmtId="2" fontId="5" fillId="34" borderId="36" xfId="0" applyNumberFormat="1" applyFont="1" applyFill="1" applyBorder="1"/>
    <xf numFmtId="165" fontId="5" fillId="34" borderId="36" xfId="0" applyNumberFormat="1" applyFont="1" applyFill="1" applyBorder="1"/>
    <xf numFmtId="165" fontId="5" fillId="34" borderId="37" xfId="0" applyNumberFormat="1" applyFont="1" applyFill="1" applyBorder="1"/>
    <xf numFmtId="0" fontId="2" fillId="0" borderId="9" xfId="0" applyFont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0" fillId="0" borderId="9" xfId="0" applyFill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0" fontId="2" fillId="30" borderId="9" xfId="0" applyFont="1" applyFill="1" applyBorder="1" applyAlignment="1">
      <alignment horizontal="center" vertical="center" wrapText="1"/>
    </xf>
    <xf numFmtId="0" fontId="2" fillId="30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37" borderId="39" xfId="117" quotePrefix="1" applyNumberFormat="1" applyFont="1" applyFill="1" applyBorder="1" applyAlignment="1">
      <alignment horizontal="center" vertical="center"/>
    </xf>
    <xf numFmtId="0" fontId="4" fillId="37" borderId="20" xfId="117" quotePrefix="1" applyNumberFormat="1" applyFont="1" applyFill="1" applyBorder="1" applyAlignment="1">
      <alignment horizontal="left" vertical="center"/>
    </xf>
    <xf numFmtId="165" fontId="5" fillId="37" borderId="20" xfId="180" applyFont="1" applyFill="1" applyBorder="1" applyAlignment="1">
      <alignment horizontal="center" vertical="center"/>
    </xf>
    <xf numFmtId="10" fontId="5" fillId="37" borderId="20" xfId="121" applyNumberFormat="1" applyFont="1" applyFill="1" applyBorder="1" applyAlignment="1">
      <alignment horizontal="center" vertical="center"/>
    </xf>
    <xf numFmtId="165" fontId="5" fillId="37" borderId="20" xfId="180" applyFont="1" applyFill="1" applyBorder="1" applyAlignment="1">
      <alignment horizontal="right" vertical="center"/>
    </xf>
    <xf numFmtId="166" fontId="5" fillId="31" borderId="20" xfId="121" applyNumberFormat="1" applyFont="1" applyFill="1" applyBorder="1" applyAlignment="1">
      <alignment horizontal="center"/>
    </xf>
    <xf numFmtId="165" fontId="5" fillId="31" borderId="20" xfId="180" applyFont="1" applyFill="1" applyBorder="1"/>
    <xf numFmtId="165" fontId="5" fillId="31" borderId="48" xfId="180" applyFont="1" applyFill="1" applyBorder="1"/>
    <xf numFmtId="0" fontId="4" fillId="37" borderId="16" xfId="117" quotePrefix="1" applyNumberFormat="1" applyFont="1" applyFill="1" applyBorder="1" applyAlignment="1">
      <alignment horizontal="center" vertical="center"/>
    </xf>
    <xf numFmtId="0" fontId="4" fillId="37" borderId="9" xfId="117" quotePrefix="1" applyNumberFormat="1" applyFont="1" applyFill="1" applyBorder="1" applyAlignment="1">
      <alignment horizontal="left" vertical="center"/>
    </xf>
    <xf numFmtId="165" fontId="5" fillId="37" borderId="9" xfId="180" applyFont="1" applyFill="1" applyBorder="1" applyAlignment="1">
      <alignment horizontal="center" vertical="center"/>
    </xf>
    <xf numFmtId="10" fontId="5" fillId="37" borderId="9" xfId="121" applyNumberFormat="1" applyFont="1" applyFill="1" applyBorder="1" applyAlignment="1">
      <alignment horizontal="center" vertical="center"/>
    </xf>
    <xf numFmtId="166" fontId="5" fillId="31" borderId="9" xfId="121" applyNumberFormat="1" applyFont="1" applyFill="1" applyBorder="1" applyAlignment="1">
      <alignment horizontal="center"/>
    </xf>
    <xf numFmtId="165" fontId="5" fillId="31" borderId="9" xfId="180" applyFont="1" applyFill="1" applyBorder="1"/>
    <xf numFmtId="165" fontId="5" fillId="31" borderId="17" xfId="180" applyFont="1" applyFill="1" applyBorder="1"/>
    <xf numFmtId="165" fontId="2" fillId="0" borderId="9" xfId="149" applyFont="1" applyFill="1" applyBorder="1" applyAlignment="1">
      <alignment horizontal="center" vertical="center" wrapText="1"/>
    </xf>
    <xf numFmtId="43" fontId="2" fillId="0" borderId="0" xfId="0" applyNumberFormat="1" applyFont="1"/>
    <xf numFmtId="49" fontId="2" fillId="0" borderId="0" xfId="0" applyNumberFormat="1" applyFont="1" applyFill="1" applyAlignment="1">
      <alignment horizontal="center" vertical="center" wrapText="1"/>
    </xf>
    <xf numFmtId="165" fontId="2" fillId="0" borderId="0" xfId="149" applyFont="1" applyFill="1" applyBorder="1" applyAlignment="1">
      <alignment horizontal="center" vertical="center" wrapText="1"/>
    </xf>
    <xf numFmtId="0" fontId="2" fillId="27" borderId="9" xfId="114" applyFont="1" applyFill="1" applyBorder="1" applyAlignment="1">
      <alignment horizontal="center" vertical="center" wrapText="1"/>
    </xf>
    <xf numFmtId="165" fontId="2" fillId="0" borderId="9" xfId="180" applyFont="1" applyFill="1" applyBorder="1" applyAlignment="1">
      <alignment horizontal="right" vertical="center" wrapText="1"/>
    </xf>
    <xf numFmtId="0" fontId="2" fillId="28" borderId="0" xfId="0" applyFont="1" applyFill="1"/>
    <xf numFmtId="0" fontId="15" fillId="0" borderId="14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40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40" xfId="117" applyFont="1" applyFill="1" applyBorder="1" applyAlignment="1">
      <alignment horizontal="center" vertical="center" wrapText="1"/>
    </xf>
    <xf numFmtId="0" fontId="15" fillId="0" borderId="20" xfId="117" applyFont="1" applyFill="1" applyBorder="1" applyAlignment="1">
      <alignment horizontal="center" vertical="center" wrapText="1"/>
    </xf>
    <xf numFmtId="0" fontId="15" fillId="30" borderId="35" xfId="117" applyFont="1" applyFill="1" applyBorder="1" applyAlignment="1">
      <alignment horizontal="center" vertical="center" wrapText="1"/>
    </xf>
    <xf numFmtId="0" fontId="15" fillId="30" borderId="36" xfId="117" applyFont="1" applyFill="1" applyBorder="1" applyAlignment="1">
      <alignment horizontal="center" vertical="center" wrapText="1"/>
    </xf>
    <xf numFmtId="0" fontId="15" fillId="30" borderId="37" xfId="117" applyFont="1" applyFill="1" applyBorder="1" applyAlignment="1">
      <alignment horizontal="center" vertical="center" wrapText="1"/>
    </xf>
    <xf numFmtId="0" fontId="15" fillId="0" borderId="38" xfId="0" applyFont="1" applyFill="1" applyBorder="1" applyAlignment="1">
      <alignment horizontal="center" vertical="center"/>
    </xf>
    <xf numFmtId="0" fontId="15" fillId="0" borderId="39" xfId="0" applyFont="1" applyFill="1" applyBorder="1" applyAlignment="1">
      <alignment horizontal="center" vertical="center"/>
    </xf>
    <xf numFmtId="2" fontId="15" fillId="0" borderId="40" xfId="117" applyNumberFormat="1" applyFont="1" applyFill="1" applyBorder="1" applyAlignment="1">
      <alignment horizontal="center" vertical="center" wrapText="1"/>
    </xf>
    <xf numFmtId="2" fontId="15" fillId="0" borderId="20" xfId="117" applyNumberFormat="1" applyFont="1" applyFill="1" applyBorder="1" applyAlignment="1">
      <alignment horizontal="center" vertical="center" wrapText="1"/>
    </xf>
    <xf numFmtId="0" fontId="15" fillId="0" borderId="40" xfId="117" applyFont="1" applyFill="1" applyBorder="1" applyAlignment="1">
      <alignment vertical="center" wrapText="1"/>
    </xf>
    <xf numFmtId="0" fontId="15" fillId="0" borderId="20" xfId="117" applyFont="1" applyFill="1" applyBorder="1" applyAlignment="1">
      <alignment vertical="center" wrapText="1"/>
    </xf>
    <xf numFmtId="0" fontId="15" fillId="30" borderId="41" xfId="117" applyFont="1" applyFill="1" applyBorder="1" applyAlignment="1">
      <alignment horizontal="left" vertical="center"/>
    </xf>
    <xf numFmtId="0" fontId="15" fillId="30" borderId="42" xfId="117" applyFont="1" applyFill="1" applyBorder="1" applyAlignment="1">
      <alignment horizontal="left" vertical="center"/>
    </xf>
    <xf numFmtId="165" fontId="4" fillId="0" borderId="0" xfId="180" applyFont="1" applyFill="1" applyBorder="1" applyAlignment="1">
      <alignment horizontal="center" vertical="center"/>
    </xf>
    <xf numFmtId="0" fontId="41" fillId="34" borderId="10" xfId="117" applyFont="1" applyFill="1" applyBorder="1" applyAlignment="1">
      <alignment horizontal="center" vertical="center"/>
    </xf>
    <xf numFmtId="0" fontId="41" fillId="34" borderId="11" xfId="117" applyFont="1" applyFill="1" applyBorder="1" applyAlignment="1">
      <alignment horizontal="center" vertical="center"/>
    </xf>
    <xf numFmtId="0" fontId="41" fillId="34" borderId="24" xfId="117" applyFont="1" applyFill="1" applyBorder="1" applyAlignment="1">
      <alignment horizontal="center" vertical="center"/>
    </xf>
    <xf numFmtId="165" fontId="10" fillId="0" borderId="11" xfId="180" applyFont="1" applyFill="1" applyBorder="1" applyAlignment="1">
      <alignment vertical="center"/>
    </xf>
    <xf numFmtId="165" fontId="10" fillId="0" borderId="24" xfId="180" applyFont="1" applyFill="1" applyBorder="1" applyAlignment="1">
      <alignment vertical="center"/>
    </xf>
    <xf numFmtId="49" fontId="8" fillId="0" borderId="10" xfId="117" applyNumberFormat="1" applyFont="1" applyFill="1" applyBorder="1" applyAlignment="1">
      <alignment horizontal="right" vertical="center"/>
    </xf>
    <xf numFmtId="49" fontId="8" fillId="0" borderId="11" xfId="117" applyNumberFormat="1" applyFont="1" applyFill="1" applyBorder="1" applyAlignment="1">
      <alignment horizontal="right" vertical="center"/>
    </xf>
    <xf numFmtId="49" fontId="8" fillId="0" borderId="24" xfId="117" applyNumberFormat="1" applyFont="1" applyFill="1" applyBorder="1" applyAlignment="1">
      <alignment horizontal="right" vertical="center"/>
    </xf>
    <xf numFmtId="0" fontId="8" fillId="0" borderId="10" xfId="117" applyFont="1" applyFill="1" applyBorder="1" applyAlignment="1">
      <alignment horizontal="left" vertical="center"/>
    </xf>
    <xf numFmtId="0" fontId="8" fillId="0" borderId="11" xfId="117" applyFont="1" applyFill="1" applyBorder="1" applyAlignment="1">
      <alignment horizontal="left" vertical="center"/>
    </xf>
    <xf numFmtId="0" fontId="8" fillId="0" borderId="24" xfId="117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/>
    </xf>
    <xf numFmtId="0" fontId="4" fillId="34" borderId="45" xfId="0" applyFont="1" applyFill="1" applyBorder="1" applyAlignment="1">
      <alignment horizontal="center" vertical="center"/>
    </xf>
    <xf numFmtId="0" fontId="4" fillId="34" borderId="21" xfId="0" applyFont="1" applyFill="1" applyBorder="1" applyAlignment="1">
      <alignment horizontal="center" vertical="center"/>
    </xf>
    <xf numFmtId="0" fontId="4" fillId="34" borderId="43" xfId="0" applyFont="1" applyFill="1" applyBorder="1" applyAlignment="1">
      <alignment horizontal="center"/>
    </xf>
    <xf numFmtId="49" fontId="8" fillId="0" borderId="46" xfId="117" applyNumberFormat="1" applyFont="1" applyFill="1" applyBorder="1" applyAlignment="1">
      <alignment horizontal="left" vertical="center"/>
    </xf>
    <xf numFmtId="49" fontId="8" fillId="0" borderId="12" xfId="117" applyNumberFormat="1" applyFont="1" applyFill="1" applyBorder="1" applyAlignment="1">
      <alignment horizontal="left" vertical="center"/>
    </xf>
    <xf numFmtId="49" fontId="8" fillId="0" borderId="47" xfId="117" applyNumberFormat="1" applyFont="1" applyFill="1" applyBorder="1" applyAlignment="1">
      <alignment horizontal="left" vertical="center"/>
    </xf>
    <xf numFmtId="0" fontId="9" fillId="34" borderId="26" xfId="117" applyFont="1" applyFill="1" applyBorder="1" applyAlignment="1">
      <alignment horizontal="center" vertical="center" wrapText="1"/>
    </xf>
    <xf numFmtId="165" fontId="4" fillId="34" borderId="43" xfId="180" applyFont="1" applyFill="1" applyBorder="1" applyAlignment="1">
      <alignment horizontal="center" vertical="center" wrapText="1"/>
    </xf>
    <xf numFmtId="165" fontId="4" fillId="34" borderId="22" xfId="180" applyFont="1" applyFill="1" applyBorder="1" applyAlignment="1">
      <alignment horizontal="center" vertical="center" wrapText="1"/>
    </xf>
    <xf numFmtId="4" fontId="4" fillId="34" borderId="43" xfId="180" applyNumberFormat="1" applyFont="1" applyFill="1" applyBorder="1" applyAlignment="1">
      <alignment horizontal="center" vertical="center" wrapText="1"/>
    </xf>
    <xf numFmtId="4" fontId="4" fillId="34" borderId="22" xfId="180" applyNumberFormat="1" applyFont="1" applyFill="1" applyBorder="1" applyAlignment="1">
      <alignment horizontal="center" vertical="center" wrapText="1"/>
    </xf>
    <xf numFmtId="0" fontId="4" fillId="34" borderId="43" xfId="117" applyFont="1" applyFill="1" applyBorder="1" applyAlignment="1">
      <alignment horizontal="center" vertical="center" wrapText="1"/>
    </xf>
    <xf numFmtId="0" fontId="4" fillId="34" borderId="22" xfId="117" applyFont="1" applyFill="1" applyBorder="1" applyAlignment="1">
      <alignment horizontal="center" vertical="center" wrapText="1"/>
    </xf>
    <xf numFmtId="0" fontId="4" fillId="34" borderId="44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30" borderId="10" xfId="0" applyFont="1" applyFill="1" applyBorder="1" applyAlignment="1">
      <alignment horizontal="center" vertical="center" wrapText="1"/>
    </xf>
    <xf numFmtId="0" fontId="2" fillId="30" borderId="11" xfId="0" applyFont="1" applyFill="1" applyBorder="1" applyAlignment="1">
      <alignment horizontal="center" vertical="center" wrapText="1"/>
    </xf>
    <xf numFmtId="0" fontId="2" fillId="30" borderId="24" xfId="0" applyFont="1" applyFill="1" applyBorder="1" applyAlignment="1">
      <alignment horizontal="center" vertical="center" wrapText="1"/>
    </xf>
    <xf numFmtId="0" fontId="2" fillId="30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0" fillId="31" borderId="10" xfId="0" applyFill="1" applyBorder="1" applyAlignment="1">
      <alignment horizontal="center" wrapText="1"/>
    </xf>
    <xf numFmtId="0" fontId="0" fillId="31" borderId="11" xfId="0" applyFill="1" applyBorder="1" applyAlignment="1">
      <alignment horizontal="center" wrapText="1"/>
    </xf>
    <xf numFmtId="0" fontId="0" fillId="31" borderId="24" xfId="0" applyFill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0" fillId="30" borderId="11" xfId="0" applyFill="1" applyBorder="1" applyAlignment="1">
      <alignment horizontal="center" vertical="center" wrapText="1"/>
    </xf>
    <xf numFmtId="0" fontId="0" fillId="30" borderId="24" xfId="0" applyFill="1" applyBorder="1" applyAlignment="1">
      <alignment horizontal="center" vertical="center" wrapText="1"/>
    </xf>
    <xf numFmtId="0" fontId="49" fillId="29" borderId="10" xfId="0" applyFont="1" applyFill="1" applyBorder="1" applyAlignment="1">
      <alignment horizontal="center" vertical="center" wrapText="1"/>
    </xf>
    <xf numFmtId="0" fontId="49" fillId="29" borderId="11" xfId="0" applyFont="1" applyFill="1" applyBorder="1" applyAlignment="1">
      <alignment horizontal="center" vertical="center" wrapText="1"/>
    </xf>
    <xf numFmtId="0" fontId="49" fillId="29" borderId="2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31" borderId="9" xfId="0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0" fillId="30" borderId="10" xfId="0" applyFill="1" applyBorder="1" applyAlignment="1">
      <alignment horizontal="center" vertical="center" wrapText="1"/>
    </xf>
    <xf numFmtId="0" fontId="2" fillId="30" borderId="9" xfId="0" applyFont="1" applyFill="1" applyBorder="1" applyAlignment="1">
      <alignment horizontal="center" vertical="center"/>
    </xf>
    <xf numFmtId="0" fontId="0" fillId="30" borderId="9" xfId="0" applyFill="1" applyBorder="1" applyAlignment="1">
      <alignment horizontal="center" vertical="center"/>
    </xf>
    <xf numFmtId="0" fontId="2" fillId="31" borderId="10" xfId="0" applyFont="1" applyFill="1" applyBorder="1" applyAlignment="1">
      <alignment horizontal="center" vertical="center"/>
    </xf>
    <xf numFmtId="0" fontId="2" fillId="31" borderId="11" xfId="0" applyFont="1" applyFill="1" applyBorder="1" applyAlignment="1">
      <alignment horizontal="center" vertical="center"/>
    </xf>
    <xf numFmtId="0" fontId="2" fillId="31" borderId="24" xfId="0" applyFont="1" applyFill="1" applyBorder="1" applyAlignment="1">
      <alignment horizontal="center" vertical="center"/>
    </xf>
    <xf numFmtId="0" fontId="0" fillId="30" borderId="9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42" fillId="36" borderId="9" xfId="0" applyFont="1" applyFill="1" applyBorder="1" applyAlignment="1">
      <alignment horizontal="center" vertical="center" wrapText="1"/>
    </xf>
    <xf numFmtId="0" fontId="43" fillId="0" borderId="9" xfId="0" applyFont="1" applyFill="1" applyBorder="1" applyAlignment="1">
      <alignment horizontal="center" vertical="center" wrapText="1"/>
    </xf>
    <xf numFmtId="0" fontId="42" fillId="0" borderId="9" xfId="0" applyFont="1" applyBorder="1" applyAlignment="1">
      <alignment wrapText="1"/>
    </xf>
    <xf numFmtId="0" fontId="43" fillId="0" borderId="9" xfId="0" applyFont="1" applyBorder="1" applyAlignment="1">
      <alignment wrapText="1"/>
    </xf>
    <xf numFmtId="196" fontId="42" fillId="0" borderId="9" xfId="0" applyNumberFormat="1" applyFont="1" applyBorder="1" applyAlignment="1">
      <alignment wrapText="1"/>
    </xf>
    <xf numFmtId="0" fontId="2" fillId="30" borderId="10" xfId="0" applyFont="1" applyFill="1" applyBorder="1" applyAlignment="1">
      <alignment horizontal="center" vertical="center"/>
    </xf>
    <xf numFmtId="0" fontId="2" fillId="30" borderId="11" xfId="0" applyFont="1" applyFill="1" applyBorder="1" applyAlignment="1">
      <alignment horizontal="center" vertical="center"/>
    </xf>
    <xf numFmtId="0" fontId="2" fillId="30" borderId="24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24" xfId="0" applyBorder="1" applyAlignment="1">
      <alignment horizontal="left"/>
    </xf>
    <xf numFmtId="0" fontId="42" fillId="0" borderId="20" xfId="0" applyFont="1" applyBorder="1" applyAlignment="1">
      <alignment wrapText="1"/>
    </xf>
    <xf numFmtId="0" fontId="43" fillId="0" borderId="20" xfId="0" applyFont="1" applyBorder="1" applyAlignment="1">
      <alignment wrapText="1"/>
    </xf>
    <xf numFmtId="196" fontId="42" fillId="0" borderId="20" xfId="0" applyNumberFormat="1" applyFont="1" applyBorder="1" applyAlignment="1">
      <alignment wrapText="1"/>
    </xf>
    <xf numFmtId="0" fontId="43" fillId="0" borderId="9" xfId="0" quotePrefix="1" applyFont="1" applyFill="1" applyBorder="1" applyAlignment="1">
      <alignment horizontal="center" vertical="center" wrapText="1"/>
    </xf>
    <xf numFmtId="2" fontId="39" fillId="0" borderId="9" xfId="0" applyNumberFormat="1" applyFont="1" applyFill="1" applyBorder="1" applyAlignment="1">
      <alignment horizontal="center" vertical="center"/>
    </xf>
    <xf numFmtId="0" fontId="39" fillId="0" borderId="9" xfId="0" applyFont="1" applyFill="1" applyBorder="1" applyAlignment="1">
      <alignment horizontal="left" vertical="center" wrapText="1"/>
    </xf>
    <xf numFmtId="2" fontId="39" fillId="31" borderId="10" xfId="0" applyNumberFormat="1" applyFont="1" applyFill="1" applyBorder="1" applyAlignment="1">
      <alignment horizontal="left" vertical="center" wrapText="1"/>
    </xf>
    <xf numFmtId="2" fontId="39" fillId="31" borderId="11" xfId="0" applyNumberFormat="1" applyFont="1" applyFill="1" applyBorder="1" applyAlignment="1">
      <alignment horizontal="left" vertical="center" wrapText="1"/>
    </xf>
    <xf numFmtId="2" fontId="39" fillId="31" borderId="24" xfId="0" applyNumberFormat="1" applyFont="1" applyFill="1" applyBorder="1" applyAlignment="1">
      <alignment horizontal="left" vertical="center" wrapText="1"/>
    </xf>
    <xf numFmtId="2" fontId="39" fillId="31" borderId="9" xfId="0" applyNumberFormat="1" applyFont="1" applyFill="1" applyBorder="1" applyAlignment="1">
      <alignment horizontal="center" vertical="center"/>
    </xf>
    <xf numFmtId="2" fontId="39" fillId="31" borderId="10" xfId="0" applyNumberFormat="1" applyFont="1" applyFill="1" applyBorder="1" applyAlignment="1">
      <alignment horizontal="left" vertical="center"/>
    </xf>
    <xf numFmtId="2" fontId="39" fillId="31" borderId="11" xfId="0" applyNumberFormat="1" applyFont="1" applyFill="1" applyBorder="1" applyAlignment="1">
      <alignment horizontal="left" vertical="center"/>
    </xf>
    <xf numFmtId="2" fontId="39" fillId="31" borderId="24" xfId="0" applyNumberFormat="1" applyFont="1" applyFill="1" applyBorder="1" applyAlignment="1">
      <alignment horizontal="left" vertical="center"/>
    </xf>
    <xf numFmtId="0" fontId="39" fillId="0" borderId="10" xfId="0" applyFont="1" applyFill="1" applyBorder="1" applyAlignment="1">
      <alignment horizontal="left" vertical="center" wrapText="1"/>
    </xf>
    <xf numFmtId="0" fontId="39" fillId="0" borderId="11" xfId="0" applyFont="1" applyFill="1" applyBorder="1" applyAlignment="1">
      <alignment horizontal="left" vertical="center" wrapText="1"/>
    </xf>
    <xf numFmtId="0" fontId="39" fillId="0" borderId="24" xfId="0" applyFont="1" applyFill="1" applyBorder="1" applyAlignment="1">
      <alignment horizontal="left" vertical="center" wrapText="1"/>
    </xf>
    <xf numFmtId="0" fontId="39" fillId="0" borderId="10" xfId="0" applyFont="1" applyBorder="1" applyAlignment="1">
      <alignment horizontal="left" vertical="center"/>
    </xf>
    <xf numFmtId="0" fontId="39" fillId="0" borderId="11" xfId="0" applyFont="1" applyBorder="1" applyAlignment="1">
      <alignment horizontal="left" vertical="center"/>
    </xf>
    <xf numFmtId="0" fontId="39" fillId="0" borderId="24" xfId="0" applyFont="1" applyBorder="1" applyAlignment="1">
      <alignment horizontal="left" vertical="center"/>
    </xf>
    <xf numFmtId="2" fontId="39" fillId="0" borderId="10" xfId="0" applyNumberFormat="1" applyFont="1" applyFill="1" applyBorder="1" applyAlignment="1">
      <alignment horizontal="center" vertical="center"/>
    </xf>
    <xf numFmtId="2" fontId="39" fillId="0" borderId="11" xfId="0" applyNumberFormat="1" applyFont="1" applyFill="1" applyBorder="1" applyAlignment="1">
      <alignment horizontal="center" vertical="center"/>
    </xf>
    <xf numFmtId="2" fontId="39" fillId="0" borderId="24" xfId="0" applyNumberFormat="1" applyFont="1" applyFill="1" applyBorder="1" applyAlignment="1">
      <alignment horizontal="center" vertical="center"/>
    </xf>
    <xf numFmtId="0" fontId="39" fillId="31" borderId="10" xfId="0" applyFont="1" applyFill="1" applyBorder="1" applyAlignment="1">
      <alignment horizontal="left" vertical="center" wrapText="1"/>
    </xf>
    <xf numFmtId="0" fontId="39" fillId="31" borderId="11" xfId="0" applyFont="1" applyFill="1" applyBorder="1" applyAlignment="1">
      <alignment horizontal="left" vertical="center" wrapText="1"/>
    </xf>
    <xf numFmtId="0" fontId="39" fillId="31" borderId="24" xfId="0" applyFont="1" applyFill="1" applyBorder="1" applyAlignment="1">
      <alignment horizontal="left" vertical="center" wrapText="1"/>
    </xf>
    <xf numFmtId="4" fontId="39" fillId="32" borderId="9" xfId="55" applyNumberFormat="1" applyFont="1" applyFill="1" applyBorder="1" applyAlignment="1" applyProtection="1">
      <alignment horizontal="left" vertical="center" wrapText="1"/>
    </xf>
    <xf numFmtId="2" fontId="39" fillId="0" borderId="10" xfId="0" applyNumberFormat="1" applyFont="1" applyFill="1" applyBorder="1" applyAlignment="1">
      <alignment horizontal="left" vertical="center"/>
    </xf>
    <xf numFmtId="2" fontId="39" fillId="0" borderId="11" xfId="0" applyNumberFormat="1" applyFont="1" applyFill="1" applyBorder="1" applyAlignment="1">
      <alignment horizontal="left" vertical="center"/>
    </xf>
    <xf numFmtId="2" fontId="39" fillId="0" borderId="24" xfId="0" applyNumberFormat="1" applyFont="1" applyFill="1" applyBorder="1" applyAlignment="1">
      <alignment horizontal="left" vertical="center"/>
    </xf>
    <xf numFmtId="2" fontId="39" fillId="0" borderId="10" xfId="0" applyNumberFormat="1" applyFont="1" applyFill="1" applyBorder="1" applyAlignment="1">
      <alignment horizontal="left" vertical="center" wrapText="1"/>
    </xf>
    <xf numFmtId="4" fontId="39" fillId="32" borderId="10" xfId="55" applyNumberFormat="1" applyFont="1" applyFill="1" applyBorder="1" applyAlignment="1" applyProtection="1">
      <alignment horizontal="left" vertical="center" wrapText="1"/>
    </xf>
    <xf numFmtId="4" fontId="39" fillId="32" borderId="11" xfId="55" applyNumberFormat="1" applyFont="1" applyFill="1" applyBorder="1" applyAlignment="1" applyProtection="1">
      <alignment horizontal="left" vertical="center" wrapText="1"/>
    </xf>
    <xf numFmtId="4" fontId="39" fillId="32" borderId="24" xfId="55" applyNumberFormat="1" applyFont="1" applyFill="1" applyBorder="1" applyAlignment="1" applyProtection="1">
      <alignment horizontal="left" vertical="center" wrapText="1"/>
    </xf>
    <xf numFmtId="0" fontId="39" fillId="31" borderId="9" xfId="0" applyFont="1" applyFill="1" applyBorder="1" applyAlignment="1">
      <alignment horizontal="left" vertical="center" wrapText="1"/>
    </xf>
    <xf numFmtId="0" fontId="39" fillId="0" borderId="10" xfId="0" applyFont="1" applyBorder="1" applyAlignment="1">
      <alignment horizontal="left" vertical="center" wrapText="1"/>
    </xf>
    <xf numFmtId="0" fontId="39" fillId="0" borderId="11" xfId="0" applyFont="1" applyBorder="1" applyAlignment="1">
      <alignment horizontal="left" vertical="center" wrapText="1"/>
    </xf>
    <xf numFmtId="0" fontId="39" fillId="0" borderId="24" xfId="0" applyFont="1" applyBorder="1" applyAlignment="1">
      <alignment horizontal="left" vertical="center" wrapText="1"/>
    </xf>
    <xf numFmtId="1" fontId="39" fillId="32" borderId="10" xfId="0" applyNumberFormat="1" applyFont="1" applyFill="1" applyBorder="1" applyAlignment="1" applyProtection="1">
      <alignment horizontal="left" vertical="center"/>
      <protection locked="0"/>
    </xf>
    <xf numFmtId="1" fontId="39" fillId="32" borderId="11" xfId="0" applyNumberFormat="1" applyFont="1" applyFill="1" applyBorder="1" applyAlignment="1" applyProtection="1">
      <alignment horizontal="left" vertical="center"/>
      <protection locked="0"/>
    </xf>
    <xf numFmtId="1" fontId="39" fillId="32" borderId="24" xfId="0" applyNumberFormat="1" applyFont="1" applyFill="1" applyBorder="1" applyAlignment="1" applyProtection="1">
      <alignment horizontal="left" vertical="center"/>
      <protection locked="0"/>
    </xf>
    <xf numFmtId="0" fontId="39" fillId="0" borderId="9" xfId="0" applyFont="1" applyBorder="1" applyAlignment="1">
      <alignment horizontal="center" vertical="center"/>
    </xf>
    <xf numFmtId="0" fontId="39" fillId="0" borderId="9" xfId="0" applyFont="1" applyBorder="1" applyAlignment="1">
      <alignment horizontal="left" vertical="center"/>
    </xf>
    <xf numFmtId="0" fontId="39" fillId="32" borderId="10" xfId="0" applyFont="1" applyFill="1" applyBorder="1" applyAlignment="1">
      <alignment horizontal="left" vertical="center"/>
    </xf>
    <xf numFmtId="0" fontId="39" fillId="32" borderId="11" xfId="0" applyFont="1" applyFill="1" applyBorder="1" applyAlignment="1">
      <alignment horizontal="left" vertical="center"/>
    </xf>
    <xf numFmtId="0" fontId="39" fillId="32" borderId="24" xfId="0" applyFont="1" applyFill="1" applyBorder="1" applyAlignment="1">
      <alignment horizontal="left" vertical="center"/>
    </xf>
    <xf numFmtId="2" fontId="39" fillId="0" borderId="9" xfId="0" applyNumberFormat="1" applyFont="1" applyFill="1" applyBorder="1" applyAlignment="1">
      <alignment horizontal="center" vertical="center" wrapText="1"/>
    </xf>
    <xf numFmtId="1" fontId="39" fillId="0" borderId="10" xfId="0" applyNumberFormat="1" applyFont="1" applyFill="1" applyBorder="1" applyAlignment="1" applyProtection="1">
      <alignment horizontal="left" vertical="center" wrapText="1"/>
      <protection locked="0"/>
    </xf>
    <xf numFmtId="1" fontId="39" fillId="0" borderId="11" xfId="0" applyNumberFormat="1" applyFont="1" applyFill="1" applyBorder="1" applyAlignment="1" applyProtection="1">
      <alignment horizontal="left" vertical="center" wrapText="1"/>
      <protection locked="0"/>
    </xf>
    <xf numFmtId="1" fontId="39" fillId="0" borderId="24" xfId="0" applyNumberFormat="1" applyFont="1" applyFill="1" applyBorder="1" applyAlignment="1" applyProtection="1">
      <alignment horizontal="left" vertical="center" wrapText="1"/>
      <protection locked="0"/>
    </xf>
    <xf numFmtId="2" fontId="39" fillId="0" borderId="11" xfId="0" applyNumberFormat="1" applyFont="1" applyFill="1" applyBorder="1" applyAlignment="1">
      <alignment horizontal="left" vertical="center" wrapText="1"/>
    </xf>
    <xf numFmtId="2" fontId="39" fillId="0" borderId="24" xfId="0" applyNumberFormat="1" applyFont="1" applyFill="1" applyBorder="1" applyAlignment="1">
      <alignment horizontal="left" vertical="center" wrapText="1"/>
    </xf>
    <xf numFmtId="0" fontId="0" fillId="0" borderId="9" xfId="0" applyBorder="1" applyAlignment="1">
      <alignment horizontal="center" wrapText="1"/>
    </xf>
    <xf numFmtId="0" fontId="0" fillId="0" borderId="9" xfId="0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4" fillId="0" borderId="45" xfId="0" applyFont="1" applyBorder="1" applyAlignment="1">
      <alignment horizontal="center"/>
    </xf>
    <xf numFmtId="0" fontId="54" fillId="0" borderId="43" xfId="0" applyFont="1" applyBorder="1" applyAlignment="1">
      <alignment horizontal="center"/>
    </xf>
    <xf numFmtId="0" fontId="54" fillId="0" borderId="44" xfId="0" applyFont="1" applyBorder="1" applyAlignment="1">
      <alignment horizontal="center"/>
    </xf>
    <xf numFmtId="0" fontId="54" fillId="0" borderId="0" xfId="0" applyFont="1" applyAlignment="1">
      <alignment horizontal="center"/>
    </xf>
    <xf numFmtId="43" fontId="2" fillId="0" borderId="0" xfId="0" applyNumberFormat="1" applyFont="1" applyFill="1" applyBorder="1" applyAlignment="1">
      <alignment horizontal="center" vertical="center" wrapText="1"/>
    </xf>
    <xf numFmtId="0" fontId="4" fillId="0" borderId="16" xfId="117" quotePrefix="1" applyNumberFormat="1" applyFont="1" applyFill="1" applyBorder="1" applyAlignment="1">
      <alignment horizontal="center" vertical="center"/>
    </xf>
    <xf numFmtId="0" fontId="4" fillId="0" borderId="9" xfId="117" quotePrefix="1" applyNumberFormat="1" applyFont="1" applyFill="1" applyBorder="1" applyAlignment="1">
      <alignment horizontal="left" vertical="center"/>
    </xf>
    <xf numFmtId="165" fontId="5" fillId="0" borderId="9" xfId="180" applyFont="1" applyFill="1" applyBorder="1" applyAlignment="1">
      <alignment horizontal="center" vertical="center"/>
    </xf>
    <xf numFmtId="10" fontId="5" fillId="0" borderId="9" xfId="121" applyNumberFormat="1" applyFont="1" applyFill="1" applyBorder="1" applyAlignment="1">
      <alignment horizontal="center" vertical="center"/>
    </xf>
    <xf numFmtId="166" fontId="5" fillId="0" borderId="9" xfId="121" applyNumberFormat="1" applyFont="1" applyFill="1" applyBorder="1" applyAlignment="1">
      <alignment horizontal="center"/>
    </xf>
    <xf numFmtId="165" fontId="5" fillId="0" borderId="9" xfId="180" applyFont="1" applyFill="1" applyBorder="1"/>
    <xf numFmtId="165" fontId="5" fillId="0" borderId="17" xfId="180" applyFont="1" applyFill="1" applyBorder="1"/>
    <xf numFmtId="166" fontId="5" fillId="31" borderId="0" xfId="0" applyNumberFormat="1" applyFont="1" applyFill="1"/>
    <xf numFmtId="43" fontId="5" fillId="31" borderId="0" xfId="0" applyNumberFormat="1" applyFont="1" applyFill="1"/>
  </cellXfs>
  <cellStyles count="201">
    <cellStyle name="0,0_x000d_&#10;NA_x000d_&#10;" xfId="1"/>
    <cellStyle name="0,0_x000d_&#10;NA_x000d_&#10; 2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Ênfase1 2" xfId="9"/>
    <cellStyle name="20% - Ênfase2 2" xfId="10"/>
    <cellStyle name="20% - Ênfase3 2" xfId="11"/>
    <cellStyle name="20% - Ênfase4 2" xfId="12"/>
    <cellStyle name="20% - Ênfase5 2" xfId="13"/>
    <cellStyle name="20% - Ênfase6 2" xfId="14"/>
    <cellStyle name="40% - Accent1" xfId="15"/>
    <cellStyle name="40% - Accent2" xfId="16"/>
    <cellStyle name="40% - Accent3" xfId="17"/>
    <cellStyle name="40% - Accent4" xfId="18"/>
    <cellStyle name="40% - Accent5" xfId="19"/>
    <cellStyle name="40% - Accent6" xfId="20"/>
    <cellStyle name="40% - Ênfase1 2" xfId="21"/>
    <cellStyle name="40% - Ênfase2 2" xfId="22"/>
    <cellStyle name="40% - Ênfase3 2" xfId="23"/>
    <cellStyle name="40% - Ênfase4 2" xfId="24"/>
    <cellStyle name="40% - Ênfase5 2" xfId="25"/>
    <cellStyle name="40% - Ênfase6 2" xfId="26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Accent1" xfId="33"/>
    <cellStyle name="Accent2" xfId="34"/>
    <cellStyle name="Accent3" xfId="35"/>
    <cellStyle name="Accent4" xfId="36"/>
    <cellStyle name="Accent5" xfId="37"/>
    <cellStyle name="Accent6" xfId="38"/>
    <cellStyle name="Bad" xfId="39"/>
    <cellStyle name="Calculation" xfId="40"/>
    <cellStyle name="Check Cell" xfId="41"/>
    <cellStyle name="Excel Built-in Normal" xfId="42"/>
    <cellStyle name="Excel Built-in Normal 2" xfId="43"/>
    <cellStyle name="Explanatory Text" xfId="44"/>
    <cellStyle name="Good" xfId="45"/>
    <cellStyle name="Heading 1" xfId="46"/>
    <cellStyle name="Heading 2" xfId="47"/>
    <cellStyle name="Heading 3" xfId="48"/>
    <cellStyle name="Heading 4" xfId="49"/>
    <cellStyle name="Hiperlink 2" xfId="50"/>
    <cellStyle name="Hiperlink 3" xfId="51"/>
    <cellStyle name="Input" xfId="52"/>
    <cellStyle name="Linked Cell" xfId="53"/>
    <cellStyle name="Moeda" xfId="54" builtinId="4"/>
    <cellStyle name="Moeda 2" xfId="55"/>
    <cellStyle name="Moeda 2 2" xfId="56"/>
    <cellStyle name="Moeda 3" xfId="57"/>
    <cellStyle name="Moeda 3 2" xfId="58"/>
    <cellStyle name="Moeda 4" xfId="59"/>
    <cellStyle name="Moeda 4 2" xfId="60"/>
    <cellStyle name="Moeda 4 3" xfId="61"/>
    <cellStyle name="Moeda 4 4" xfId="62"/>
    <cellStyle name="Moeda 5" xfId="63"/>
    <cellStyle name="Moeda 5 2" xfId="64"/>
    <cellStyle name="Moeda 5 3" xfId="65"/>
    <cellStyle name="Moeda 6" xfId="66"/>
    <cellStyle name="Moeda 7" xfId="67"/>
    <cellStyle name="Moeda 8" xfId="68"/>
    <cellStyle name="Neutral" xfId="69"/>
    <cellStyle name="Normal" xfId="0" builtinId="0"/>
    <cellStyle name="Normal 10" xfId="70"/>
    <cellStyle name="Normal 10 20" xfId="71"/>
    <cellStyle name="Normal 14" xfId="72"/>
    <cellStyle name="Normal 17" xfId="73"/>
    <cellStyle name="Normal 2" xfId="74"/>
    <cellStyle name="Normal 2 2" xfId="75"/>
    <cellStyle name="Normal 2 2 10" xfId="76"/>
    <cellStyle name="Normal 2 2 2" xfId="77"/>
    <cellStyle name="Normal 2 2 2 2" xfId="78"/>
    <cellStyle name="Normal 2 2 2 3" xfId="79"/>
    <cellStyle name="Normal 2 2 3" xfId="80"/>
    <cellStyle name="Normal 2 2 4" xfId="81"/>
    <cellStyle name="Normal 2 2 5" xfId="82"/>
    <cellStyle name="Normal 2 2 6" xfId="83"/>
    <cellStyle name="Normal 2 2 7" xfId="84"/>
    <cellStyle name="Normal 2 2 8" xfId="85"/>
    <cellStyle name="Normal 2 2 9" xfId="86"/>
    <cellStyle name="Normal 2 3" xfId="87"/>
    <cellStyle name="Normal 2 4" xfId="88"/>
    <cellStyle name="Normal 2 5" xfId="89"/>
    <cellStyle name="Normal 2 6" xfId="90"/>
    <cellStyle name="Normal 2 7" xfId="91"/>
    <cellStyle name="Normal 2 8" xfId="92"/>
    <cellStyle name="Normal 3" xfId="93"/>
    <cellStyle name="Normal 3 2" xfId="94"/>
    <cellStyle name="Normal 3 3" xfId="95"/>
    <cellStyle name="Normal 3 4" xfId="96"/>
    <cellStyle name="Normal 3 5" xfId="97"/>
    <cellStyle name="Normal 4" xfId="98"/>
    <cellStyle name="Normal 4 2" xfId="99"/>
    <cellStyle name="Normal 4 3" xfId="100"/>
    <cellStyle name="Normal 5" xfId="101"/>
    <cellStyle name="Normal 5 2" xfId="102"/>
    <cellStyle name="Normal 6" xfId="103"/>
    <cellStyle name="Normal 7" xfId="104"/>
    <cellStyle name="Normal 7 2" xfId="105"/>
    <cellStyle name="Normal 7 3" xfId="106"/>
    <cellStyle name="Normal 7 4" xfId="107"/>
    <cellStyle name="Normal 7 5" xfId="108"/>
    <cellStyle name="Normal 7 6" xfId="109"/>
    <cellStyle name="Normal 7 7" xfId="110"/>
    <cellStyle name="Normal 7 8" xfId="111"/>
    <cellStyle name="Normal 8" xfId="112"/>
    <cellStyle name="Normal 8 2" xfId="113"/>
    <cellStyle name="Normal 8 2 2" xfId="114"/>
    <cellStyle name="Normal 9" xfId="115"/>
    <cellStyle name="Normal 9 2" xfId="116"/>
    <cellStyle name="Normal_Relação de material" xfId="117"/>
    <cellStyle name="Nota 2" xfId="118"/>
    <cellStyle name="Note" xfId="119"/>
    <cellStyle name="Output" xfId="120"/>
    <cellStyle name="Porcentagem" xfId="121" builtinId="5"/>
    <cellStyle name="Porcentagem 2" xfId="122"/>
    <cellStyle name="Porcentagem 2 2" xfId="123"/>
    <cellStyle name="Porcentagem 3" xfId="124"/>
    <cellStyle name="Porcentagem 3 2" xfId="125"/>
    <cellStyle name="Porcentagem 4" xfId="126"/>
    <cellStyle name="Porcentagem 4 2" xfId="127"/>
    <cellStyle name="Porcentagem 5" xfId="128"/>
    <cellStyle name="Porcentagem 5 2" xfId="129"/>
    <cellStyle name="Porcentagem 6" xfId="130"/>
    <cellStyle name="Separador de milhares" xfId="180" builtinId="3"/>
    <cellStyle name="Separador de milhares 10" xfId="131"/>
    <cellStyle name="Separador de milhares 10 2" xfId="132"/>
    <cellStyle name="Separador de milhares 10 3" xfId="133"/>
    <cellStyle name="Separador de milhares 11" xfId="134"/>
    <cellStyle name="Separador de milhares 13" xfId="135"/>
    <cellStyle name="Separador de milhares 14" xfId="136"/>
    <cellStyle name="Separador de milhares 16" xfId="137"/>
    <cellStyle name="Separador de milhares 17" xfId="138"/>
    <cellStyle name="Separador de milhares 2" xfId="139"/>
    <cellStyle name="Separador de milhares 2 10" xfId="140"/>
    <cellStyle name="Separador de milhares 2 11" xfId="141"/>
    <cellStyle name="Separador de milhares 2 2" xfId="142"/>
    <cellStyle name="Separador de milhares 2 2 2" xfId="143"/>
    <cellStyle name="Separador de milhares 2 2 2 2" xfId="144"/>
    <cellStyle name="Separador de milhares 2 2 3" xfId="145"/>
    <cellStyle name="Separador de milhares 2 2 3 2" xfId="146"/>
    <cellStyle name="Separador de milhares 2 2 4" xfId="147"/>
    <cellStyle name="Separador de milhares 2 3" xfId="148"/>
    <cellStyle name="Separador de milhares 2 3 2" xfId="149"/>
    <cellStyle name="Separador de milhares 2 3 2 2" xfId="150"/>
    <cellStyle name="Separador de milhares 2 3 2 3" xfId="151"/>
    <cellStyle name="Separador de milhares 2 3 3" xfId="152"/>
    <cellStyle name="Separador de milhares 2 3 4" xfId="153"/>
    <cellStyle name="Separador de milhares 2 4" xfId="154"/>
    <cellStyle name="Separador de milhares 2 5" xfId="155"/>
    <cellStyle name="Separador de milhares 2 6" xfId="156"/>
    <cellStyle name="Separador de milhares 2 7" xfId="157"/>
    <cellStyle name="Separador de milhares 2 8" xfId="158"/>
    <cellStyle name="Separador de milhares 2 9" xfId="159"/>
    <cellStyle name="Separador de milhares 28 2" xfId="160"/>
    <cellStyle name="Separador de milhares 28 2 2" xfId="161"/>
    <cellStyle name="Separador de milhares 3" xfId="162"/>
    <cellStyle name="Separador de milhares 3 2" xfId="163"/>
    <cellStyle name="Separador de milhares 3 2 2" xfId="164"/>
    <cellStyle name="Separador de milhares 3 3" xfId="165"/>
    <cellStyle name="Separador de milhares 3 4" xfId="166"/>
    <cellStyle name="Separador de milhares 3 5" xfId="167"/>
    <cellStyle name="Separador de milhares 3 6" xfId="168"/>
    <cellStyle name="Separador de milhares 4" xfId="169"/>
    <cellStyle name="Separador de milhares 4 2" xfId="170"/>
    <cellStyle name="Separador de milhares 4 3" xfId="171"/>
    <cellStyle name="Separador de milhares 5" xfId="172"/>
    <cellStyle name="Separador de milhares 6" xfId="173"/>
    <cellStyle name="Separador de milhares 6 2" xfId="174"/>
    <cellStyle name="Separador de milhares 6 3" xfId="175"/>
    <cellStyle name="Separador de milhares 9" xfId="176"/>
    <cellStyle name="Title" xfId="177"/>
    <cellStyle name="Título 1 1" xfId="178"/>
    <cellStyle name="Título 1 1 1" xfId="179"/>
    <cellStyle name="Vírgula 2" xfId="181"/>
    <cellStyle name="Vírgula 2 2" xfId="182"/>
    <cellStyle name="Vírgula 2 3" xfId="183"/>
    <cellStyle name="Vírgula 2 4" xfId="184"/>
    <cellStyle name="Vírgula 2 5" xfId="185"/>
    <cellStyle name="Vírgula 2 6" xfId="186"/>
    <cellStyle name="Vírgula 2 7" xfId="187"/>
    <cellStyle name="Vírgula 2 8" xfId="188"/>
    <cellStyle name="Vírgula 3" xfId="189"/>
    <cellStyle name="Vírgula 3 2" xfId="190"/>
    <cellStyle name="Vírgula 3 2 2" xfId="191"/>
    <cellStyle name="Vírgula 3 3" xfId="192"/>
    <cellStyle name="Vírgula 4" xfId="193"/>
    <cellStyle name="Vírgula 4 2" xfId="194"/>
    <cellStyle name="Vírgula 4 3" xfId="195"/>
    <cellStyle name="Vírgula 4 4" xfId="196"/>
    <cellStyle name="Vírgula 5" xfId="197"/>
    <cellStyle name="Vírgula 5 2" xfId="198"/>
    <cellStyle name="Vírgula 6" xfId="199"/>
    <cellStyle name="Warning Text" xfId="2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66675</xdr:rowOff>
    </xdr:from>
    <xdr:to>
      <xdr:col>2</xdr:col>
      <xdr:colOff>5638800</xdr:colOff>
      <xdr:row>7</xdr:row>
      <xdr:rowOff>114300</xdr:rowOff>
    </xdr:to>
    <xdr:pic>
      <xdr:nvPicPr>
        <xdr:cNvPr id="1988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66675"/>
          <a:ext cx="7477125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152400</xdr:rowOff>
    </xdr:from>
    <xdr:to>
      <xdr:col>3</xdr:col>
      <xdr:colOff>47625</xdr:colOff>
      <xdr:row>6</xdr:row>
      <xdr:rowOff>247650</xdr:rowOff>
    </xdr:to>
    <xdr:pic>
      <xdr:nvPicPr>
        <xdr:cNvPr id="301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2400"/>
          <a:ext cx="5895975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19050</xdr:rowOff>
    </xdr:from>
    <xdr:to>
      <xdr:col>19</xdr:col>
      <xdr:colOff>66675</xdr:colOff>
      <xdr:row>5</xdr:row>
      <xdr:rowOff>333375</xdr:rowOff>
    </xdr:to>
    <xdr:pic>
      <xdr:nvPicPr>
        <xdr:cNvPr id="4036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19125" y="19050"/>
          <a:ext cx="809625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28575</xdr:colOff>
      <xdr:row>2</xdr:row>
      <xdr:rowOff>0</xdr:rowOff>
    </xdr:from>
    <xdr:to>
      <xdr:col>21</xdr:col>
      <xdr:colOff>257175</xdr:colOff>
      <xdr:row>26</xdr:row>
      <xdr:rowOff>114300</xdr:rowOff>
    </xdr:to>
    <xdr:pic>
      <xdr:nvPicPr>
        <xdr:cNvPr id="10393" name="Imagem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563475" y="323850"/>
          <a:ext cx="5172075" cy="408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22</xdr:col>
      <xdr:colOff>200025</xdr:colOff>
      <xdr:row>1</xdr:row>
      <xdr:rowOff>19050</xdr:rowOff>
    </xdr:from>
    <xdr:to>
      <xdr:col>30</xdr:col>
      <xdr:colOff>466725</xdr:colOff>
      <xdr:row>26</xdr:row>
      <xdr:rowOff>47625</xdr:rowOff>
    </xdr:to>
    <xdr:pic>
      <xdr:nvPicPr>
        <xdr:cNvPr id="10394" name="Imagem 2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8288000" y="180975"/>
          <a:ext cx="51435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152400</xdr:colOff>
      <xdr:row>28</xdr:row>
      <xdr:rowOff>180975</xdr:rowOff>
    </xdr:from>
    <xdr:to>
      <xdr:col>21</xdr:col>
      <xdr:colOff>104775</xdr:colOff>
      <xdr:row>54</xdr:row>
      <xdr:rowOff>66675</xdr:rowOff>
    </xdr:to>
    <xdr:pic>
      <xdr:nvPicPr>
        <xdr:cNvPr id="10395" name="Imagem 3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2687300" y="4810125"/>
          <a:ext cx="4895850" cy="414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22</xdr:col>
      <xdr:colOff>123825</xdr:colOff>
      <xdr:row>28</xdr:row>
      <xdr:rowOff>57150</xdr:rowOff>
    </xdr:from>
    <xdr:to>
      <xdr:col>30</xdr:col>
      <xdr:colOff>390525</xdr:colOff>
      <xdr:row>53</xdr:row>
      <xdr:rowOff>161925</xdr:rowOff>
    </xdr:to>
    <xdr:pic>
      <xdr:nvPicPr>
        <xdr:cNvPr id="10396" name="Imagem 4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8211800" y="4705350"/>
          <a:ext cx="5143500" cy="418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187.17.2.135/orse/composicao.asp?font_sg_fonte=ORSE&amp;serv_nr_codigo=10234&amp;peri_nr_ano=2018&amp;peri_nr_mes=9&amp;peri_nr_ordem=1" TargetMode="External"/><Relationship Id="rId1" Type="http://schemas.openxmlformats.org/officeDocument/2006/relationships/hyperlink" Target="http://187.17.2.135/orse/composicao.asp?font_sg_fonte=ORSE&amp;serv_nr_codigo=11308&amp;peri_nr_ano=2018&amp;peri_nr_mes=9&amp;peri_nr_ordem=1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187.17.2.135/orse/composicao.asp?font_sg_fonte=ORSE&amp;serv_nr_codigo=10234&amp;peri_nr_ano=2018&amp;peri_nr_mes=9&amp;peri_nr_ordem=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42"/>
  <sheetViews>
    <sheetView view="pageBreakPreview" topLeftCell="A29" zoomScale="130" zoomScaleSheetLayoutView="130" zoomScalePageLayoutView="55" workbookViewId="0">
      <selection activeCell="G339" sqref="G339"/>
    </sheetView>
  </sheetViews>
  <sheetFormatPr defaultColWidth="15.85546875" defaultRowHeight="12.75"/>
  <cols>
    <col min="1" max="1" width="8.85546875" style="74" customWidth="1"/>
    <col min="2" max="2" width="19.42578125" style="74" bestFit="1" customWidth="1"/>
    <col min="3" max="3" width="97.7109375" style="45" bestFit="1" customWidth="1"/>
    <col min="4" max="4" width="11.140625" style="75" customWidth="1"/>
    <col min="5" max="5" width="18.28515625" style="82" bestFit="1" customWidth="1"/>
    <col min="6" max="6" width="15.85546875" style="83"/>
    <col min="7" max="7" width="24.5703125" style="82" bestFit="1" customWidth="1"/>
    <col min="8" max="8" width="36.28515625" style="25" bestFit="1" customWidth="1"/>
    <col min="9" max="16384" width="15.85546875" style="25"/>
  </cols>
  <sheetData>
    <row r="1" spans="1:8">
      <c r="A1" s="428"/>
      <c r="B1" s="24"/>
      <c r="C1" s="210"/>
      <c r="D1" s="28"/>
      <c r="E1" s="29"/>
      <c r="F1" s="30"/>
      <c r="G1" s="29"/>
    </row>
    <row r="2" spans="1:8">
      <c r="A2" s="428" t="s">
        <v>217</v>
      </c>
      <c r="B2" s="27" t="s">
        <v>445</v>
      </c>
      <c r="C2" s="210"/>
      <c r="D2" s="28"/>
      <c r="E2" s="29"/>
      <c r="F2" s="30"/>
      <c r="G2" s="29"/>
    </row>
    <row r="3" spans="1:8">
      <c r="A3" s="428"/>
      <c r="B3" s="27"/>
      <c r="C3" s="210"/>
      <c r="D3" s="28"/>
      <c r="E3" s="29"/>
      <c r="F3" s="30"/>
      <c r="G3" s="29"/>
    </row>
    <row r="4" spans="1:8">
      <c r="A4" s="428"/>
      <c r="B4" s="27"/>
      <c r="C4" s="210"/>
      <c r="D4" s="28"/>
      <c r="E4" s="29"/>
      <c r="F4" s="30"/>
      <c r="G4" s="29"/>
    </row>
    <row r="5" spans="1:8">
      <c r="A5" s="84"/>
      <c r="B5" s="288"/>
      <c r="C5" s="210"/>
      <c r="D5" s="28"/>
      <c r="E5" s="29"/>
      <c r="F5" s="30"/>
      <c r="G5" s="29"/>
    </row>
    <row r="6" spans="1:8">
      <c r="A6" s="26"/>
      <c r="B6" s="27"/>
      <c r="C6" s="210"/>
      <c r="D6" s="28"/>
      <c r="E6" s="29"/>
      <c r="F6" s="30"/>
      <c r="G6" s="29"/>
    </row>
    <row r="7" spans="1:8">
      <c r="A7" s="26"/>
      <c r="B7" s="27"/>
      <c r="C7" s="210"/>
      <c r="D7" s="28"/>
      <c r="E7" s="29"/>
      <c r="F7" s="30"/>
      <c r="G7" s="29"/>
    </row>
    <row r="8" spans="1:8" ht="13.5" thickBot="1">
      <c r="A8" s="26"/>
      <c r="B8" s="27"/>
      <c r="C8" s="210"/>
      <c r="D8" s="28"/>
      <c r="E8" s="29"/>
      <c r="F8" s="30"/>
      <c r="G8" s="29"/>
    </row>
    <row r="9" spans="1:8" s="421" customFormat="1" ht="21.75" customHeight="1" thickBot="1">
      <c r="A9" s="546" t="s">
        <v>199</v>
      </c>
      <c r="B9" s="547"/>
      <c r="C9" s="547"/>
      <c r="D9" s="547"/>
      <c r="E9" s="547"/>
      <c r="F9" s="547"/>
      <c r="G9" s="548"/>
      <c r="H9" s="422"/>
    </row>
    <row r="10" spans="1:8" s="421" customFormat="1" ht="21.75" customHeight="1" thickBot="1">
      <c r="A10" s="555" t="s">
        <v>812</v>
      </c>
      <c r="B10" s="556"/>
      <c r="C10" s="556"/>
      <c r="D10" s="556"/>
      <c r="E10" s="556"/>
      <c r="F10" s="556"/>
      <c r="G10" s="423" t="s">
        <v>447</v>
      </c>
      <c r="H10" s="422"/>
    </row>
    <row r="11" spans="1:8" ht="12.75" customHeight="1">
      <c r="A11" s="549" t="s">
        <v>0</v>
      </c>
      <c r="B11" s="542" t="s">
        <v>8</v>
      </c>
      <c r="C11" s="544" t="s">
        <v>1</v>
      </c>
      <c r="D11" s="544" t="s">
        <v>200</v>
      </c>
      <c r="E11" s="553" t="s">
        <v>175</v>
      </c>
      <c r="F11" s="551" t="s">
        <v>117</v>
      </c>
      <c r="G11" s="544" t="s">
        <v>17</v>
      </c>
    </row>
    <row r="12" spans="1:8" ht="27.75" customHeight="1">
      <c r="A12" s="550"/>
      <c r="B12" s="543"/>
      <c r="C12" s="545"/>
      <c r="D12" s="545"/>
      <c r="E12" s="554"/>
      <c r="F12" s="552"/>
      <c r="G12" s="545"/>
    </row>
    <row r="13" spans="1:8" s="36" customFormat="1">
      <c r="A13" s="31" t="s">
        <v>176</v>
      </c>
      <c r="B13" s="32"/>
      <c r="C13" s="33" t="s">
        <v>118</v>
      </c>
      <c r="D13" s="34" t="s">
        <v>114</v>
      </c>
      <c r="E13" s="251"/>
      <c r="F13" s="35"/>
      <c r="G13" s="92">
        <f>ROUND(SUM(G14:G26),2)</f>
        <v>23010.74</v>
      </c>
    </row>
    <row r="14" spans="1:8" s="204" customFormat="1" ht="25.5">
      <c r="A14" s="205" t="s">
        <v>2</v>
      </c>
      <c r="B14" s="118" t="s">
        <v>763</v>
      </c>
      <c r="C14" s="119" t="s">
        <v>244</v>
      </c>
      <c r="D14" s="206" t="s">
        <v>9</v>
      </c>
      <c r="E14" s="252">
        <f>'Memória Civil'!R8</f>
        <v>815</v>
      </c>
      <c r="F14" s="207">
        <v>4.3899999999999997</v>
      </c>
      <c r="G14" s="208">
        <f>ROUND(E14*F14,2)</f>
        <v>3577.85</v>
      </c>
    </row>
    <row r="15" spans="1:8" s="204" customFormat="1" ht="27.75" customHeight="1">
      <c r="A15" s="205" t="s">
        <v>621</v>
      </c>
      <c r="B15" s="118" t="s">
        <v>754</v>
      </c>
      <c r="C15" s="119" t="s">
        <v>634</v>
      </c>
      <c r="D15" s="206" t="s">
        <v>9</v>
      </c>
      <c r="E15" s="252">
        <f>'Memória Civil'!P11</f>
        <v>676</v>
      </c>
      <c r="F15" s="207">
        <f>'Comp. ORSE com insumos SINAPI'!G8</f>
        <v>17.192499999999999</v>
      </c>
      <c r="G15" s="208">
        <f t="shared" ref="G15:G26" si="0">ROUND(E15*F15,2)</f>
        <v>11622.13</v>
      </c>
    </row>
    <row r="16" spans="1:8" s="204" customFormat="1" ht="27.75" customHeight="1">
      <c r="A16" s="205" t="s">
        <v>747</v>
      </c>
      <c r="B16" s="118" t="s">
        <v>755</v>
      </c>
      <c r="C16" s="119" t="s">
        <v>690</v>
      </c>
      <c r="D16" s="206" t="s">
        <v>9</v>
      </c>
      <c r="E16" s="252">
        <f>'Memória Civil'!P17</f>
        <v>55</v>
      </c>
      <c r="F16" s="207">
        <f>'Comp. ORSE com insumos SINAPI'!G15</f>
        <v>9.2575000000000003</v>
      </c>
      <c r="G16" s="208">
        <f t="shared" si="0"/>
        <v>509.16</v>
      </c>
    </row>
    <row r="17" spans="1:8" s="204" customFormat="1" ht="27.75" customHeight="1">
      <c r="A17" s="205" t="s">
        <v>748</v>
      </c>
      <c r="B17" s="118" t="s">
        <v>756</v>
      </c>
      <c r="C17" s="119" t="s">
        <v>666</v>
      </c>
      <c r="D17" s="206" t="s">
        <v>9</v>
      </c>
      <c r="E17" s="252">
        <f>'Memória Civil'!P21</f>
        <v>129.5</v>
      </c>
      <c r="F17" s="207">
        <f>'Comp. ORSE com insumos SINAPI'!G22</f>
        <v>19.837499999999999</v>
      </c>
      <c r="G17" s="208">
        <f t="shared" si="0"/>
        <v>2568.96</v>
      </c>
      <c r="H17" s="287"/>
    </row>
    <row r="18" spans="1:8" s="204" customFormat="1" ht="27.75" customHeight="1">
      <c r="A18" s="205" t="s">
        <v>628</v>
      </c>
      <c r="B18" s="118" t="s">
        <v>760</v>
      </c>
      <c r="C18" s="119" t="s">
        <v>668</v>
      </c>
      <c r="D18" s="206" t="s">
        <v>61</v>
      </c>
      <c r="E18" s="252">
        <f>'Memória Civil'!P34</f>
        <v>4.7084999999999999</v>
      </c>
      <c r="F18" s="207">
        <f>'Comp. ORSE com insumos SINAPI'!G42</f>
        <v>171.92500000000001</v>
      </c>
      <c r="G18" s="208">
        <f t="shared" si="0"/>
        <v>809.51</v>
      </c>
    </row>
    <row r="19" spans="1:8" s="204" customFormat="1" ht="27.75" customHeight="1">
      <c r="A19" s="205" t="s">
        <v>630</v>
      </c>
      <c r="B19" s="118" t="s">
        <v>762</v>
      </c>
      <c r="C19" s="119" t="s">
        <v>673</v>
      </c>
      <c r="D19" s="206" t="s">
        <v>9</v>
      </c>
      <c r="E19" s="252">
        <f>'Memória Civil'!P40</f>
        <v>55</v>
      </c>
      <c r="F19" s="207">
        <f>'Comp. ORSE com insumos SINAPI'!G52</f>
        <v>12.51628</v>
      </c>
      <c r="G19" s="208">
        <f t="shared" si="0"/>
        <v>688.4</v>
      </c>
    </row>
    <row r="20" spans="1:8" s="204" customFormat="1" ht="27.75" customHeight="1">
      <c r="A20" s="205" t="s">
        <v>749</v>
      </c>
      <c r="B20" s="118" t="s">
        <v>770</v>
      </c>
      <c r="C20" s="119" t="s">
        <v>675</v>
      </c>
      <c r="D20" s="206" t="s">
        <v>9</v>
      </c>
      <c r="E20" s="252">
        <f>'Memória Civil'!P44</f>
        <v>55</v>
      </c>
      <c r="F20" s="207">
        <f>'Comp. ORSE com insumos SINAPI'!G59</f>
        <v>17.192499999999999</v>
      </c>
      <c r="G20" s="208">
        <f t="shared" si="0"/>
        <v>945.59</v>
      </c>
    </row>
    <row r="21" spans="1:8" s="204" customFormat="1" ht="27.75" customHeight="1">
      <c r="A21" s="205" t="s">
        <v>633</v>
      </c>
      <c r="B21" s="118" t="s">
        <v>773</v>
      </c>
      <c r="C21" s="119" t="s">
        <v>676</v>
      </c>
      <c r="D21" s="206" t="s">
        <v>9</v>
      </c>
      <c r="E21" s="252">
        <f>'Memória Civil'!P48</f>
        <v>25.2</v>
      </c>
      <c r="F21" s="207">
        <f>'Comp. ORSE com insumos SINAPI'!G66</f>
        <v>10.636000000000001</v>
      </c>
      <c r="G21" s="208">
        <f t="shared" si="0"/>
        <v>268.02999999999997</v>
      </c>
    </row>
    <row r="22" spans="1:8" s="204" customFormat="1" ht="27.75" customHeight="1">
      <c r="A22" s="205" t="s">
        <v>750</v>
      </c>
      <c r="B22" s="118" t="s">
        <v>1450</v>
      </c>
      <c r="C22" s="119" t="s">
        <v>1452</v>
      </c>
      <c r="D22" s="206" t="s">
        <v>9</v>
      </c>
      <c r="E22" s="252">
        <f>'Memória Civil'!P52</f>
        <v>5.12</v>
      </c>
      <c r="F22" s="207">
        <f>'Comp. ORSE com insumos SINAPI'!G73</f>
        <v>13.967500000000001</v>
      </c>
      <c r="G22" s="208">
        <f t="shared" si="0"/>
        <v>71.510000000000005</v>
      </c>
      <c r="H22" s="287"/>
    </row>
    <row r="23" spans="1:8" s="204" customFormat="1" ht="27.75" customHeight="1">
      <c r="A23" s="205" t="s">
        <v>751</v>
      </c>
      <c r="B23" s="118" t="s">
        <v>1061</v>
      </c>
      <c r="C23" s="119" t="s">
        <v>1062</v>
      </c>
      <c r="D23" s="206" t="s">
        <v>11</v>
      </c>
      <c r="E23" s="252">
        <f>'Memória Civil'!P56</f>
        <v>120</v>
      </c>
      <c r="F23" s="207">
        <f>'Comp. ORSE com insumos SINAPI'!G82</f>
        <v>11.307169999999999</v>
      </c>
      <c r="G23" s="208">
        <f t="shared" si="0"/>
        <v>1356.86</v>
      </c>
    </row>
    <row r="24" spans="1:8" s="204" customFormat="1" ht="27.75" customHeight="1">
      <c r="A24" s="205" t="s">
        <v>635</v>
      </c>
      <c r="B24" s="118" t="s">
        <v>774</v>
      </c>
      <c r="C24" s="119" t="s">
        <v>665</v>
      </c>
      <c r="D24" s="206" t="s">
        <v>9</v>
      </c>
      <c r="E24" s="252">
        <f>'Memória Civil'!P60</f>
        <v>13.86</v>
      </c>
      <c r="F24" s="207">
        <v>4.9800000000000004</v>
      </c>
      <c r="G24" s="208">
        <f t="shared" si="0"/>
        <v>69.02</v>
      </c>
    </row>
    <row r="25" spans="1:8" s="204" customFormat="1" ht="27.75" customHeight="1">
      <c r="A25" s="205" t="s">
        <v>752</v>
      </c>
      <c r="B25" s="118" t="s">
        <v>776</v>
      </c>
      <c r="C25" s="119" t="s">
        <v>1502</v>
      </c>
      <c r="D25" s="206" t="s">
        <v>9</v>
      </c>
      <c r="E25" s="252">
        <f>'Memória Civil'!P65</f>
        <v>4</v>
      </c>
      <c r="F25" s="207">
        <v>14.68</v>
      </c>
      <c r="G25" s="208">
        <f t="shared" si="0"/>
        <v>58.72</v>
      </c>
    </row>
    <row r="26" spans="1:8" s="204" customFormat="1" ht="27.75" customHeight="1">
      <c r="A26" s="205" t="s">
        <v>753</v>
      </c>
      <c r="B26" s="118" t="s">
        <v>777</v>
      </c>
      <c r="C26" s="119" t="s">
        <v>667</v>
      </c>
      <c r="D26" s="206" t="s">
        <v>9</v>
      </c>
      <c r="E26" s="252">
        <f>'Memória Civil'!P69</f>
        <v>250</v>
      </c>
      <c r="F26" s="207">
        <v>1.86</v>
      </c>
      <c r="G26" s="208">
        <f t="shared" si="0"/>
        <v>465</v>
      </c>
    </row>
    <row r="27" spans="1:8" s="36" customFormat="1" ht="27.75" customHeight="1">
      <c r="A27" s="31" t="s">
        <v>177</v>
      </c>
      <c r="B27" s="32"/>
      <c r="C27" s="33" t="s">
        <v>198</v>
      </c>
      <c r="D27" s="34" t="s">
        <v>114</v>
      </c>
      <c r="E27" s="251"/>
      <c r="F27" s="35"/>
      <c r="G27" s="92">
        <f>ROUND(SUM(G28:G32),2)</f>
        <v>32662.720000000001</v>
      </c>
    </row>
    <row r="28" spans="1:8" s="235" customFormat="1" ht="27.75" customHeight="1">
      <c r="A28" s="118" t="s">
        <v>47</v>
      </c>
      <c r="B28" s="118" t="s">
        <v>796</v>
      </c>
      <c r="C28" s="119" t="s">
        <v>795</v>
      </c>
      <c r="D28" s="216" t="s">
        <v>61</v>
      </c>
      <c r="E28" s="241">
        <v>309.52</v>
      </c>
      <c r="F28" s="234">
        <f>'Comp. ORSE com insumos SINAPI'!G88</f>
        <v>35.22</v>
      </c>
      <c r="G28" s="208">
        <f t="shared" ref="G28:G32" si="1">ROUND(E28*F28,2)</f>
        <v>10901.29</v>
      </c>
    </row>
    <row r="29" spans="1:8" s="237" customFormat="1" ht="27.75" customHeight="1">
      <c r="A29" s="118" t="s">
        <v>48</v>
      </c>
      <c r="B29" s="118" t="s">
        <v>781</v>
      </c>
      <c r="C29" s="119" t="s">
        <v>236</v>
      </c>
      <c r="D29" s="216" t="s">
        <v>9</v>
      </c>
      <c r="E29" s="252">
        <f>'Memoria estrutural'!H7+'Memoria estrutural'!M28</f>
        <v>240.12309999999999</v>
      </c>
      <c r="F29" s="207">
        <v>1.73</v>
      </c>
      <c r="G29" s="208">
        <f t="shared" si="1"/>
        <v>415.41</v>
      </c>
    </row>
    <row r="30" spans="1:8" s="237" customFormat="1" ht="27.75" customHeight="1">
      <c r="A30" s="118" t="s">
        <v>49</v>
      </c>
      <c r="B30" s="118" t="s">
        <v>450</v>
      </c>
      <c r="C30" s="119" t="s">
        <v>451</v>
      </c>
      <c r="D30" s="216" t="s">
        <v>61</v>
      </c>
      <c r="E30" s="252">
        <v>180</v>
      </c>
      <c r="F30" s="238">
        <v>28.15</v>
      </c>
      <c r="G30" s="208">
        <f t="shared" si="1"/>
        <v>5067</v>
      </c>
    </row>
    <row r="31" spans="1:8" s="237" customFormat="1" ht="27.75" customHeight="1">
      <c r="A31" s="118" t="s">
        <v>109</v>
      </c>
      <c r="B31" s="38" t="s">
        <v>1556</v>
      </c>
      <c r="C31" s="330" t="s">
        <v>1557</v>
      </c>
      <c r="D31" s="216" t="s">
        <v>61</v>
      </c>
      <c r="E31" s="255">
        <v>169</v>
      </c>
      <c r="F31" s="43">
        <v>79.569999999999993</v>
      </c>
      <c r="G31" s="208">
        <f t="shared" ref="G31" si="2">ROUND(E31*F31,2)</f>
        <v>13447.33</v>
      </c>
    </row>
    <row r="32" spans="1:8" s="237" customFormat="1" ht="27.75" customHeight="1">
      <c r="A32" s="118" t="s">
        <v>110</v>
      </c>
      <c r="B32" s="118" t="s">
        <v>1202</v>
      </c>
      <c r="C32" s="213" t="s">
        <v>218</v>
      </c>
      <c r="D32" s="216" t="s">
        <v>61</v>
      </c>
      <c r="E32" s="252">
        <v>80.400000000000006</v>
      </c>
      <c r="F32" s="238">
        <f>'Comp. ORSE com insumos SINAPI'!G131</f>
        <v>35.22</v>
      </c>
      <c r="G32" s="208">
        <f t="shared" si="1"/>
        <v>2831.69</v>
      </c>
    </row>
    <row r="33" spans="1:11" s="36" customFormat="1" ht="27.75" customHeight="1">
      <c r="A33" s="31" t="s">
        <v>178</v>
      </c>
      <c r="B33" s="32"/>
      <c r="C33" s="33" t="s">
        <v>115</v>
      </c>
      <c r="D33" s="34" t="s">
        <v>114</v>
      </c>
      <c r="E33" s="253"/>
      <c r="F33" s="93"/>
      <c r="G33" s="92">
        <f>ROUND(SUM(G34:G43),2)</f>
        <v>69065.59</v>
      </c>
      <c r="H33" s="369"/>
    </row>
    <row r="34" spans="1:11" s="235" customFormat="1" ht="27.75" customHeight="1">
      <c r="A34" s="247" t="s">
        <v>13</v>
      </c>
      <c r="B34" s="248" t="s">
        <v>849</v>
      </c>
      <c r="C34" s="249" t="s">
        <v>850</v>
      </c>
      <c r="D34" s="216" t="s">
        <v>61</v>
      </c>
      <c r="E34" s="254">
        <f>'Memoria estrutural'!G7</f>
        <v>73.17627499999999</v>
      </c>
      <c r="F34" s="250">
        <v>300.3</v>
      </c>
      <c r="G34" s="208">
        <f>ROUND(E34*F34,2)</f>
        <v>21974.84</v>
      </c>
      <c r="H34" s="370">
        <f>E34</f>
        <v>73.17627499999999</v>
      </c>
    </row>
    <row r="35" spans="1:11" s="204" customFormat="1" ht="27.75" customHeight="1">
      <c r="A35" s="247" t="s">
        <v>387</v>
      </c>
      <c r="B35" s="118" t="s">
        <v>929</v>
      </c>
      <c r="C35" s="241" t="s">
        <v>441</v>
      </c>
      <c r="D35" s="216" t="s">
        <v>9</v>
      </c>
      <c r="E35" s="252">
        <f>'Memoria estrutural'!F13</f>
        <v>88.465699999999998</v>
      </c>
      <c r="F35" s="238">
        <v>90.05</v>
      </c>
      <c r="G35" s="208">
        <f>ROUND(E35*F35,2)</f>
        <v>7966.34</v>
      </c>
      <c r="K35" s="231" t="e">
        <f>SUM(#REF!)</f>
        <v>#REF!</v>
      </c>
    </row>
    <row r="36" spans="1:11" s="204" customFormat="1" ht="23.25" customHeight="1">
      <c r="A36" s="247"/>
      <c r="B36" s="118"/>
      <c r="C36" s="264" t="s">
        <v>964</v>
      </c>
      <c r="D36" s="216"/>
      <c r="E36" s="252"/>
      <c r="F36" s="238"/>
      <c r="G36" s="208"/>
      <c r="K36" s="231"/>
    </row>
    <row r="37" spans="1:11" s="237" customFormat="1" ht="27.75" customHeight="1">
      <c r="A37" s="247" t="s">
        <v>50</v>
      </c>
      <c r="B37" s="118" t="s">
        <v>783</v>
      </c>
      <c r="C37" s="119" t="s">
        <v>709</v>
      </c>
      <c r="D37" s="216" t="s">
        <v>9</v>
      </c>
      <c r="E37" s="252">
        <f>'Memoria estrutural'!J16</f>
        <v>105.9717</v>
      </c>
      <c r="F37" s="263">
        <v>85.56</v>
      </c>
      <c r="G37" s="208">
        <f t="shared" ref="G37:G43" si="3">ROUND(E37*F37,2)</f>
        <v>9066.94</v>
      </c>
    </row>
    <row r="38" spans="1:11" s="237" customFormat="1" ht="25.5">
      <c r="A38" s="247" t="s">
        <v>388</v>
      </c>
      <c r="B38" s="118" t="s">
        <v>784</v>
      </c>
      <c r="C38" s="119" t="s">
        <v>1187</v>
      </c>
      <c r="D38" s="216" t="s">
        <v>410</v>
      </c>
      <c r="E38" s="252">
        <v>1218</v>
      </c>
      <c r="F38" s="263">
        <v>6</v>
      </c>
      <c r="G38" s="208">
        <f t="shared" si="3"/>
        <v>7308</v>
      </c>
    </row>
    <row r="39" spans="1:11" s="237" customFormat="1" ht="25.5">
      <c r="A39" s="247" t="s">
        <v>108</v>
      </c>
      <c r="B39" s="118" t="s">
        <v>1123</v>
      </c>
      <c r="C39" s="119" t="s">
        <v>1126</v>
      </c>
      <c r="D39" s="216" t="s">
        <v>410</v>
      </c>
      <c r="E39" s="252">
        <v>194</v>
      </c>
      <c r="F39" s="263">
        <v>6.69</v>
      </c>
      <c r="G39" s="208">
        <f t="shared" si="3"/>
        <v>1297.8599999999999</v>
      </c>
    </row>
    <row r="40" spans="1:11" s="237" customFormat="1" ht="25.5">
      <c r="A40" s="247" t="s">
        <v>389</v>
      </c>
      <c r="B40" s="118" t="s">
        <v>1124</v>
      </c>
      <c r="C40" s="119" t="s">
        <v>1127</v>
      </c>
      <c r="D40" s="216" t="s">
        <v>410</v>
      </c>
      <c r="E40" s="252">
        <v>325</v>
      </c>
      <c r="F40" s="263">
        <v>8.23</v>
      </c>
      <c r="G40" s="208">
        <f t="shared" si="3"/>
        <v>2674.75</v>
      </c>
    </row>
    <row r="41" spans="1:11" s="237" customFormat="1" ht="25.5">
      <c r="A41" s="247" t="s">
        <v>390</v>
      </c>
      <c r="B41" s="118" t="s">
        <v>1125</v>
      </c>
      <c r="C41" s="119" t="s">
        <v>1128</v>
      </c>
      <c r="D41" s="216" t="s">
        <v>410</v>
      </c>
      <c r="E41" s="252">
        <v>110</v>
      </c>
      <c r="F41" s="263">
        <v>9.26</v>
      </c>
      <c r="G41" s="208">
        <f t="shared" si="3"/>
        <v>1018.6</v>
      </c>
    </row>
    <row r="42" spans="1:11" s="237" customFormat="1" ht="27.75" customHeight="1">
      <c r="A42" s="247" t="s">
        <v>391</v>
      </c>
      <c r="B42" s="118" t="s">
        <v>791</v>
      </c>
      <c r="C42" s="119" t="s">
        <v>708</v>
      </c>
      <c r="D42" s="216" t="s">
        <v>61</v>
      </c>
      <c r="E42" s="252">
        <f>'Memoria estrutural'!J18</f>
        <v>36.085703000000002</v>
      </c>
      <c r="F42" s="218">
        <v>451.63</v>
      </c>
      <c r="G42" s="208">
        <f t="shared" si="3"/>
        <v>16297.39</v>
      </c>
      <c r="H42" s="265"/>
      <c r="I42" s="265"/>
    </row>
    <row r="43" spans="1:11" s="237" customFormat="1" ht="27.75" customHeight="1">
      <c r="A43" s="247" t="s">
        <v>392</v>
      </c>
      <c r="B43" s="118" t="s">
        <v>782</v>
      </c>
      <c r="C43" s="119" t="s">
        <v>219</v>
      </c>
      <c r="D43" s="216" t="s">
        <v>9</v>
      </c>
      <c r="E43" s="252">
        <f>'Memoria estrutural'!J28</f>
        <v>83.957999999999998</v>
      </c>
      <c r="F43" s="263">
        <v>17.399999999999999</v>
      </c>
      <c r="G43" s="208">
        <f t="shared" si="3"/>
        <v>1460.87</v>
      </c>
    </row>
    <row r="44" spans="1:11" s="36" customFormat="1" ht="27.75" customHeight="1">
      <c r="A44" s="31" t="s">
        <v>179</v>
      </c>
      <c r="B44" s="32"/>
      <c r="C44" s="33" t="s">
        <v>119</v>
      </c>
      <c r="D44" s="44"/>
      <c r="E44" s="253"/>
      <c r="F44" s="93"/>
      <c r="G44" s="92">
        <f>ROUND(SUM(G46:G86),2)</f>
        <v>512496.27</v>
      </c>
    </row>
    <row r="45" spans="1:11" s="235" customFormat="1" ht="27.75" customHeight="1">
      <c r="A45" s="242" t="s">
        <v>128</v>
      </c>
      <c r="B45" s="243"/>
      <c r="C45" s="244" t="s">
        <v>851</v>
      </c>
      <c r="D45" s="267"/>
      <c r="E45" s="268"/>
      <c r="F45" s="245"/>
      <c r="G45" s="246"/>
    </row>
    <row r="46" spans="1:11" s="237" customFormat="1" ht="27.75" customHeight="1">
      <c r="A46" s="205" t="s">
        <v>1505</v>
      </c>
      <c r="B46" s="118" t="s">
        <v>792</v>
      </c>
      <c r="C46" s="119" t="s">
        <v>707</v>
      </c>
      <c r="D46" s="216" t="s">
        <v>9</v>
      </c>
      <c r="E46" s="252">
        <f>'Memoria estrutural'!H61*2</f>
        <v>1187.4579999999994</v>
      </c>
      <c r="F46" s="269">
        <v>68.64</v>
      </c>
      <c r="G46" s="208">
        <f>ROUND(E46*F46,2)</f>
        <v>81507.12</v>
      </c>
    </row>
    <row r="47" spans="1:11" s="237" customFormat="1" ht="38.25">
      <c r="A47" s="205" t="s">
        <v>1506</v>
      </c>
      <c r="B47" s="118" t="s">
        <v>702</v>
      </c>
      <c r="C47" s="119" t="s">
        <v>701</v>
      </c>
      <c r="D47" s="216" t="s">
        <v>61</v>
      </c>
      <c r="E47" s="252">
        <f>'Memoria estrutural'!G61*2</f>
        <v>93.069000000000059</v>
      </c>
      <c r="F47" s="263">
        <f>'Comp. ORSE com insumos SINAPI'!G153</f>
        <v>345.01062000000002</v>
      </c>
      <c r="G47" s="208">
        <f t="shared" ref="G47:G54" si="4">ROUND(E47*F47,2)</f>
        <v>32109.79</v>
      </c>
    </row>
    <row r="48" spans="1:11" s="237" customFormat="1" ht="27.75" customHeight="1">
      <c r="A48" s="205" t="s">
        <v>1507</v>
      </c>
      <c r="B48" s="118" t="s">
        <v>785</v>
      </c>
      <c r="C48" s="119" t="s">
        <v>237</v>
      </c>
      <c r="D48" s="216" t="s">
        <v>92</v>
      </c>
      <c r="E48" s="252">
        <f>'Memória aço'!D17</f>
        <v>685</v>
      </c>
      <c r="F48" s="218">
        <v>8.43</v>
      </c>
      <c r="G48" s="208">
        <f t="shared" si="4"/>
        <v>5774.55</v>
      </c>
      <c r="H48" s="485"/>
    </row>
    <row r="49" spans="1:8" s="237" customFormat="1" ht="27.75" customHeight="1">
      <c r="A49" s="205" t="s">
        <v>1508</v>
      </c>
      <c r="B49" s="118" t="s">
        <v>786</v>
      </c>
      <c r="C49" s="119" t="s">
        <v>238</v>
      </c>
      <c r="D49" s="216" t="s">
        <v>92</v>
      </c>
      <c r="E49" s="252">
        <f>'Memória aço'!D18</f>
        <v>2511</v>
      </c>
      <c r="F49" s="218">
        <v>7.59</v>
      </c>
      <c r="G49" s="208">
        <f t="shared" si="4"/>
        <v>19058.490000000002</v>
      </c>
    </row>
    <row r="50" spans="1:8" s="237" customFormat="1" ht="27.75" customHeight="1">
      <c r="A50" s="205" t="s">
        <v>1509</v>
      </c>
      <c r="B50" s="118" t="s">
        <v>787</v>
      </c>
      <c r="C50" s="119" t="s">
        <v>239</v>
      </c>
      <c r="D50" s="216" t="s">
        <v>92</v>
      </c>
      <c r="E50" s="252">
        <f>'Memória aço'!D19</f>
        <v>540</v>
      </c>
      <c r="F50" s="218">
        <v>7.67</v>
      </c>
      <c r="G50" s="208">
        <f t="shared" si="4"/>
        <v>4141.8</v>
      </c>
    </row>
    <row r="51" spans="1:8" s="237" customFormat="1" ht="27.75" customHeight="1">
      <c r="A51" s="205" t="s">
        <v>1510</v>
      </c>
      <c r="B51" s="118" t="s">
        <v>788</v>
      </c>
      <c r="C51" s="119" t="s">
        <v>240</v>
      </c>
      <c r="D51" s="216" t="s">
        <v>92</v>
      </c>
      <c r="E51" s="252">
        <f>'Memória aço'!D20</f>
        <v>1446</v>
      </c>
      <c r="F51" s="218">
        <v>6.34</v>
      </c>
      <c r="G51" s="208">
        <f t="shared" si="4"/>
        <v>9167.64</v>
      </c>
    </row>
    <row r="52" spans="1:8" s="237" customFormat="1" ht="27.75" customHeight="1">
      <c r="A52" s="205" t="s">
        <v>1511</v>
      </c>
      <c r="B52" s="118" t="s">
        <v>789</v>
      </c>
      <c r="C52" s="119" t="s">
        <v>241</v>
      </c>
      <c r="D52" s="216" t="s">
        <v>92</v>
      </c>
      <c r="E52" s="252">
        <f>'Memória aço'!D21</f>
        <v>827</v>
      </c>
      <c r="F52" s="218">
        <v>5.75</v>
      </c>
      <c r="G52" s="208">
        <f t="shared" si="4"/>
        <v>4755.25</v>
      </c>
    </row>
    <row r="53" spans="1:8" s="237" customFormat="1" ht="27.75" customHeight="1">
      <c r="A53" s="205" t="s">
        <v>1512</v>
      </c>
      <c r="B53" s="118" t="s">
        <v>790</v>
      </c>
      <c r="C53" s="119" t="s">
        <v>242</v>
      </c>
      <c r="D53" s="216" t="s">
        <v>92</v>
      </c>
      <c r="E53" s="252">
        <f>'Memória aço'!D22</f>
        <v>1547</v>
      </c>
      <c r="F53" s="218">
        <v>5.46</v>
      </c>
      <c r="G53" s="208">
        <f t="shared" si="4"/>
        <v>8446.6200000000008</v>
      </c>
    </row>
    <row r="54" spans="1:8" s="237" customFormat="1" ht="25.5">
      <c r="A54" s="205" t="s">
        <v>1513</v>
      </c>
      <c r="B54" s="118" t="s">
        <v>1224</v>
      </c>
      <c r="C54" s="119" t="s">
        <v>1229</v>
      </c>
      <c r="D54" s="216" t="s">
        <v>92</v>
      </c>
      <c r="E54" s="252">
        <f>'Memória aço'!D23</f>
        <v>76</v>
      </c>
      <c r="F54" s="218">
        <v>5.09</v>
      </c>
      <c r="G54" s="208">
        <f t="shared" si="4"/>
        <v>386.84</v>
      </c>
    </row>
    <row r="55" spans="1:8" s="237" customFormat="1" ht="27.75" customHeight="1">
      <c r="A55" s="205" t="s">
        <v>411</v>
      </c>
      <c r="B55" s="118"/>
      <c r="C55" s="266" t="s">
        <v>852</v>
      </c>
      <c r="D55" s="216"/>
      <c r="E55" s="252"/>
      <c r="F55" s="269"/>
      <c r="G55" s="208"/>
    </row>
    <row r="56" spans="1:8" s="237" customFormat="1" ht="27.75" customHeight="1">
      <c r="A56" s="205" t="s">
        <v>1514</v>
      </c>
      <c r="B56" s="118" t="s">
        <v>1432</v>
      </c>
      <c r="C56" s="330" t="s">
        <v>1504</v>
      </c>
      <c r="D56" s="216" t="s">
        <v>9</v>
      </c>
      <c r="E56" s="252">
        <f>'Memória Civil'!P74</f>
        <v>518</v>
      </c>
      <c r="F56" s="269">
        <v>169.64</v>
      </c>
      <c r="G56" s="208">
        <f>ROUND(E56*F56,2)</f>
        <v>87873.52</v>
      </c>
      <c r="H56" s="265"/>
    </row>
    <row r="57" spans="1:8" s="237" customFormat="1" ht="27.75" customHeight="1">
      <c r="A57" s="205" t="s">
        <v>1515</v>
      </c>
      <c r="B57" s="118" t="s">
        <v>799</v>
      </c>
      <c r="C57" s="119" t="s">
        <v>243</v>
      </c>
      <c r="D57" s="206" t="s">
        <v>9</v>
      </c>
      <c r="E57" s="252">
        <f>E56</f>
        <v>518</v>
      </c>
      <c r="F57" s="238">
        <v>10.85</v>
      </c>
      <c r="G57" s="208">
        <f>ROUND(E57*F57,2)</f>
        <v>5620.3</v>
      </c>
    </row>
    <row r="58" spans="1:8" s="237" customFormat="1" ht="38.25">
      <c r="A58" s="205" t="s">
        <v>1516</v>
      </c>
      <c r="B58" s="118" t="s">
        <v>1186</v>
      </c>
      <c r="C58" s="257" t="s">
        <v>1185</v>
      </c>
      <c r="D58" s="206" t="s">
        <v>9</v>
      </c>
      <c r="E58" s="252">
        <f>'Memória Civil'!P80</f>
        <v>952.5</v>
      </c>
      <c r="F58" s="238">
        <v>62.43</v>
      </c>
      <c r="G58" s="208">
        <f>ROUND(E58*F58,2)</f>
        <v>59464.58</v>
      </c>
    </row>
    <row r="59" spans="1:8" s="237" customFormat="1" ht="38.25">
      <c r="A59" s="205" t="s">
        <v>1517</v>
      </c>
      <c r="B59" s="118" t="s">
        <v>1225</v>
      </c>
      <c r="C59" s="257" t="s">
        <v>1226</v>
      </c>
      <c r="D59" s="206" t="s">
        <v>410</v>
      </c>
      <c r="E59" s="252">
        <f>'Memória aço'!D54</f>
        <v>396</v>
      </c>
      <c r="F59" s="238">
        <v>7.59</v>
      </c>
      <c r="G59" s="208">
        <f>ROUND(E59*F59,2)</f>
        <v>3005.64</v>
      </c>
    </row>
    <row r="60" spans="1:8" s="237" customFormat="1" ht="43.5" customHeight="1">
      <c r="A60" s="205" t="s">
        <v>1518</v>
      </c>
      <c r="B60" s="118" t="s">
        <v>1227</v>
      </c>
      <c r="C60" s="257" t="s">
        <v>1228</v>
      </c>
      <c r="D60" s="206" t="s">
        <v>410</v>
      </c>
      <c r="E60" s="252">
        <f>'Memória aço'!D55+'Memória aço'!D57</f>
        <v>3241</v>
      </c>
      <c r="F60" s="238">
        <v>6.95</v>
      </c>
      <c r="G60" s="208">
        <f>ROUND(E60*F60,2)</f>
        <v>22524.95</v>
      </c>
    </row>
    <row r="61" spans="1:8" s="237" customFormat="1" ht="27.75" customHeight="1">
      <c r="A61" s="205" t="s">
        <v>129</v>
      </c>
      <c r="B61" s="118"/>
      <c r="C61" s="266" t="s">
        <v>853</v>
      </c>
      <c r="D61" s="216"/>
      <c r="E61" s="252"/>
      <c r="F61" s="269"/>
      <c r="G61" s="208"/>
    </row>
    <row r="62" spans="1:8" s="237" customFormat="1" ht="27.75" customHeight="1">
      <c r="A62" s="205" t="s">
        <v>1519</v>
      </c>
      <c r="B62" s="118" t="s">
        <v>793</v>
      </c>
      <c r="C62" s="119" t="s">
        <v>706</v>
      </c>
      <c r="D62" s="216" t="s">
        <v>9</v>
      </c>
      <c r="E62" s="252">
        <f>'Memoria estrutural'!J35</f>
        <v>443.815</v>
      </c>
      <c r="F62" s="269">
        <v>91.26</v>
      </c>
      <c r="G62" s="208">
        <f>ROUND(E62*F62,2)</f>
        <v>40502.559999999998</v>
      </c>
    </row>
    <row r="63" spans="1:8" s="237" customFormat="1" ht="27.75" customHeight="1">
      <c r="A63" s="205" t="s">
        <v>1520</v>
      </c>
      <c r="B63" s="118" t="s">
        <v>704</v>
      </c>
      <c r="C63" s="119" t="s">
        <v>703</v>
      </c>
      <c r="D63" s="216" t="s">
        <v>61</v>
      </c>
      <c r="E63" s="252">
        <f>'Memoria estrutural'!I35</f>
        <v>27.533500000000004</v>
      </c>
      <c r="F63" s="263">
        <f>'Comp. ORSE com insumos SINAPI'!G142</f>
        <v>352.30168000000003</v>
      </c>
      <c r="G63" s="208">
        <f t="shared" ref="G63:G69" si="5">ROUND(E63*F63,2)</f>
        <v>9700.1</v>
      </c>
    </row>
    <row r="64" spans="1:8" s="237" customFormat="1" ht="27.75" customHeight="1">
      <c r="A64" s="205" t="s">
        <v>1521</v>
      </c>
      <c r="B64" s="118" t="s">
        <v>785</v>
      </c>
      <c r="C64" s="119" t="s">
        <v>237</v>
      </c>
      <c r="D64" s="216" t="s">
        <v>92</v>
      </c>
      <c r="E64" s="252">
        <f>'Memória aço'!D7</f>
        <v>330</v>
      </c>
      <c r="F64" s="218">
        <v>8.43</v>
      </c>
      <c r="G64" s="208">
        <f t="shared" si="5"/>
        <v>2781.9</v>
      </c>
    </row>
    <row r="65" spans="1:8" s="237" customFormat="1" ht="27.75" customHeight="1">
      <c r="A65" s="205" t="s">
        <v>1522</v>
      </c>
      <c r="B65" s="118" t="s">
        <v>786</v>
      </c>
      <c r="C65" s="119" t="s">
        <v>238</v>
      </c>
      <c r="D65" s="216" t="s">
        <v>92</v>
      </c>
      <c r="E65" s="252">
        <f>'Memória aço'!D8</f>
        <v>488</v>
      </c>
      <c r="F65" s="218">
        <v>7.59</v>
      </c>
      <c r="G65" s="208">
        <f t="shared" si="5"/>
        <v>3703.92</v>
      </c>
    </row>
    <row r="66" spans="1:8" s="237" customFormat="1" ht="27.75" customHeight="1">
      <c r="A66" s="205" t="s">
        <v>1523</v>
      </c>
      <c r="B66" s="118" t="s">
        <v>788</v>
      </c>
      <c r="C66" s="119" t="s">
        <v>240</v>
      </c>
      <c r="D66" s="216" t="s">
        <v>92</v>
      </c>
      <c r="E66" s="252">
        <f>'Memória aço'!D9</f>
        <v>677</v>
      </c>
      <c r="F66" s="218">
        <v>6.34</v>
      </c>
      <c r="G66" s="208">
        <f t="shared" si="5"/>
        <v>4292.18</v>
      </c>
    </row>
    <row r="67" spans="1:8" s="237" customFormat="1" ht="27.75" customHeight="1">
      <c r="A67" s="205" t="s">
        <v>1524</v>
      </c>
      <c r="B67" s="118" t="s">
        <v>789</v>
      </c>
      <c r="C67" s="119" t="s">
        <v>241</v>
      </c>
      <c r="D67" s="216" t="s">
        <v>92</v>
      </c>
      <c r="E67" s="252">
        <f>'Memória aço'!D10</f>
        <v>849</v>
      </c>
      <c r="F67" s="218">
        <v>5.75</v>
      </c>
      <c r="G67" s="208">
        <f t="shared" si="5"/>
        <v>4881.75</v>
      </c>
    </row>
    <row r="68" spans="1:8" s="237" customFormat="1" ht="27.75" customHeight="1">
      <c r="A68" s="205" t="s">
        <v>1525</v>
      </c>
      <c r="B68" s="118" t="s">
        <v>790</v>
      </c>
      <c r="C68" s="119" t="s">
        <v>242</v>
      </c>
      <c r="D68" s="216" t="s">
        <v>92</v>
      </c>
      <c r="E68" s="252">
        <f>'Memória aço'!D11</f>
        <v>988</v>
      </c>
      <c r="F68" s="218">
        <v>5.46</v>
      </c>
      <c r="G68" s="208">
        <f t="shared" si="5"/>
        <v>5394.48</v>
      </c>
    </row>
    <row r="69" spans="1:8" s="237" customFormat="1" ht="27.75" customHeight="1">
      <c r="A69" s="205" t="s">
        <v>1526</v>
      </c>
      <c r="B69" s="118" t="s">
        <v>1224</v>
      </c>
      <c r="C69" s="119" t="s">
        <v>1229</v>
      </c>
      <c r="D69" s="216" t="s">
        <v>92</v>
      </c>
      <c r="E69" s="252">
        <f>'Memória aço'!D12</f>
        <v>941</v>
      </c>
      <c r="F69" s="218">
        <v>5.09</v>
      </c>
      <c r="G69" s="208">
        <f t="shared" si="5"/>
        <v>4789.6899999999996</v>
      </c>
    </row>
    <row r="70" spans="1:8" s="237" customFormat="1" ht="27.75" customHeight="1">
      <c r="A70" s="205" t="s">
        <v>130</v>
      </c>
      <c r="B70" s="118"/>
      <c r="C70" s="266" t="s">
        <v>854</v>
      </c>
      <c r="D70" s="216"/>
      <c r="E70" s="252"/>
      <c r="F70" s="269"/>
      <c r="G70" s="208"/>
    </row>
    <row r="71" spans="1:8" s="237" customFormat="1" ht="27.75" customHeight="1">
      <c r="A71" s="205" t="s">
        <v>1527</v>
      </c>
      <c r="B71" s="118" t="s">
        <v>794</v>
      </c>
      <c r="C71" s="119" t="s">
        <v>705</v>
      </c>
      <c r="D71" s="216" t="s">
        <v>9</v>
      </c>
      <c r="E71" s="252">
        <f>'Memoria estrutural'!F70</f>
        <v>23.48122</v>
      </c>
      <c r="F71" s="269">
        <v>91.31</v>
      </c>
      <c r="G71" s="208">
        <f>ROUND(E71*F71,2)</f>
        <v>2144.0700000000002</v>
      </c>
    </row>
    <row r="72" spans="1:8" s="237" customFormat="1" ht="27.75" customHeight="1">
      <c r="A72" s="205" t="s">
        <v>1528</v>
      </c>
      <c r="B72" s="118" t="s">
        <v>1549</v>
      </c>
      <c r="C72" s="330" t="s">
        <v>1548</v>
      </c>
      <c r="D72" s="216" t="s">
        <v>410</v>
      </c>
      <c r="E72" s="252">
        <v>21</v>
      </c>
      <c r="F72" s="269">
        <v>12.08</v>
      </c>
      <c r="G72" s="208">
        <f>ROUND(E72*F72,2)</f>
        <v>253.68</v>
      </c>
    </row>
    <row r="73" spans="1:8" s="237" customFormat="1" ht="27.75" customHeight="1">
      <c r="A73" s="205" t="s">
        <v>1529</v>
      </c>
      <c r="B73" s="118" t="s">
        <v>1551</v>
      </c>
      <c r="C73" s="330" t="s">
        <v>1550</v>
      </c>
      <c r="D73" s="216" t="s">
        <v>410</v>
      </c>
      <c r="E73" s="252">
        <v>18</v>
      </c>
      <c r="F73" s="269">
        <v>10.73</v>
      </c>
      <c r="G73" s="208">
        <f>ROUND(E73*F73,2)</f>
        <v>193.14</v>
      </c>
    </row>
    <row r="74" spans="1:8" s="237" customFormat="1" ht="27.75" customHeight="1">
      <c r="A74" s="205" t="s">
        <v>1530</v>
      </c>
      <c r="B74" s="118" t="s">
        <v>1553</v>
      </c>
      <c r="C74" s="330" t="s">
        <v>1552</v>
      </c>
      <c r="D74" s="216" t="s">
        <v>410</v>
      </c>
      <c r="E74" s="252">
        <v>159</v>
      </c>
      <c r="F74" s="269">
        <v>6.93</v>
      </c>
      <c r="G74" s="208">
        <f>ROUND(E74*F74,2)</f>
        <v>1101.8699999999999</v>
      </c>
    </row>
    <row r="75" spans="1:8" s="237" customFormat="1" ht="27.75" customHeight="1">
      <c r="A75" s="205" t="s">
        <v>1531</v>
      </c>
      <c r="B75" s="118" t="s">
        <v>1555</v>
      </c>
      <c r="C75" s="330" t="s">
        <v>1554</v>
      </c>
      <c r="D75" s="216" t="s">
        <v>410</v>
      </c>
      <c r="E75" s="252">
        <v>13</v>
      </c>
      <c r="F75" s="269">
        <v>5.75</v>
      </c>
      <c r="G75" s="208">
        <f>ROUND(E75*F75,2)</f>
        <v>74.75</v>
      </c>
    </row>
    <row r="76" spans="1:8" s="237" customFormat="1" ht="38.25">
      <c r="A76" s="205" t="s">
        <v>1532</v>
      </c>
      <c r="B76" s="118" t="s">
        <v>702</v>
      </c>
      <c r="C76" s="119" t="s">
        <v>701</v>
      </c>
      <c r="D76" s="216" t="s">
        <v>61</v>
      </c>
      <c r="E76" s="252">
        <f>'Memoria estrutural'!E70</f>
        <v>2.7120800000000003</v>
      </c>
      <c r="F76" s="263">
        <f>'Comp. ORSE com insumos SINAPI'!G153</f>
        <v>345.01062000000002</v>
      </c>
      <c r="G76" s="208">
        <f>ROUND(E76*F76,2)</f>
        <v>935.7</v>
      </c>
    </row>
    <row r="77" spans="1:8" s="237" customFormat="1" ht="27.75" customHeight="1">
      <c r="A77" s="205" t="s">
        <v>1533</v>
      </c>
      <c r="B77" s="118" t="s">
        <v>797</v>
      </c>
      <c r="C77" s="119" t="s">
        <v>798</v>
      </c>
      <c r="D77" s="216" t="s">
        <v>11</v>
      </c>
      <c r="E77" s="252">
        <f>'Memória Civil'!P91</f>
        <v>127.19999999999999</v>
      </c>
      <c r="F77" s="238">
        <v>46.89</v>
      </c>
      <c r="G77" s="208">
        <f>ROUND(E77*F77,2)</f>
        <v>5964.41</v>
      </c>
    </row>
    <row r="78" spans="1:8" s="237" customFormat="1" ht="27.75" customHeight="1">
      <c r="A78" s="205" t="s">
        <v>131</v>
      </c>
      <c r="B78" s="118"/>
      <c r="C78" s="266" t="s">
        <v>1232</v>
      </c>
      <c r="D78" s="216"/>
      <c r="E78" s="252"/>
      <c r="F78" s="269"/>
      <c r="G78" s="208"/>
      <c r="H78" s="265"/>
    </row>
    <row r="79" spans="1:8" s="237" customFormat="1" ht="27.75" customHeight="1">
      <c r="A79" s="205" t="s">
        <v>1534</v>
      </c>
      <c r="B79" s="118" t="s">
        <v>794</v>
      </c>
      <c r="C79" s="119" t="s">
        <v>705</v>
      </c>
      <c r="D79" s="216" t="s">
        <v>9</v>
      </c>
      <c r="E79" s="252">
        <v>437.6</v>
      </c>
      <c r="F79" s="269">
        <v>91.31</v>
      </c>
      <c r="G79" s="208">
        <f>ROUND(E79*F79,2)</f>
        <v>39957.26</v>
      </c>
    </row>
    <row r="80" spans="1:8" s="237" customFormat="1" ht="27.75" customHeight="1">
      <c r="A80" s="205" t="s">
        <v>1535</v>
      </c>
      <c r="B80" s="118" t="s">
        <v>785</v>
      </c>
      <c r="C80" s="119" t="s">
        <v>237</v>
      </c>
      <c r="D80" s="216" t="s">
        <v>92</v>
      </c>
      <c r="E80" s="252">
        <f>'Memória aço'!J7</f>
        <v>54</v>
      </c>
      <c r="F80" s="218">
        <v>8.43</v>
      </c>
      <c r="G80" s="208">
        <f t="shared" ref="G80:G86" si="6">ROUND(E80*F80,2)</f>
        <v>455.22</v>
      </c>
      <c r="H80" s="485"/>
    </row>
    <row r="81" spans="1:11" s="237" customFormat="1" ht="27.75" customHeight="1">
      <c r="A81" s="205" t="s">
        <v>1536</v>
      </c>
      <c r="B81" s="118" t="s">
        <v>788</v>
      </c>
      <c r="C81" s="119" t="s">
        <v>240</v>
      </c>
      <c r="D81" s="216" t="s">
        <v>92</v>
      </c>
      <c r="E81" s="252">
        <f>'Memória aço'!J9</f>
        <v>199</v>
      </c>
      <c r="F81" s="218">
        <v>6.34</v>
      </c>
      <c r="G81" s="208">
        <f t="shared" si="6"/>
        <v>1261.6600000000001</v>
      </c>
      <c r="H81" s="265"/>
    </row>
    <row r="82" spans="1:11" s="237" customFormat="1" ht="38.25">
      <c r="A82" s="205" t="s">
        <v>1537</v>
      </c>
      <c r="B82" s="118" t="s">
        <v>1225</v>
      </c>
      <c r="C82" s="257" t="s">
        <v>1226</v>
      </c>
      <c r="D82" s="216" t="s">
        <v>92</v>
      </c>
      <c r="E82" s="252">
        <f>'Memória aço'!D45</f>
        <v>608</v>
      </c>
      <c r="F82" s="238">
        <v>7.59</v>
      </c>
      <c r="G82" s="208">
        <f t="shared" si="6"/>
        <v>4614.72</v>
      </c>
    </row>
    <row r="83" spans="1:11" s="237" customFormat="1" ht="43.5" customHeight="1">
      <c r="A83" s="205" t="s">
        <v>1538</v>
      </c>
      <c r="B83" s="118" t="s">
        <v>1227</v>
      </c>
      <c r="C83" s="257" t="s">
        <v>1228</v>
      </c>
      <c r="D83" s="216" t="s">
        <v>92</v>
      </c>
      <c r="E83" s="252">
        <f>'Memória aço'!D46</f>
        <v>2673</v>
      </c>
      <c r="F83" s="238">
        <v>6.95</v>
      </c>
      <c r="G83" s="208">
        <f t="shared" si="6"/>
        <v>18577.349999999999</v>
      </c>
    </row>
    <row r="84" spans="1:11" s="237" customFormat="1" ht="43.5" customHeight="1">
      <c r="A84" s="205" t="s">
        <v>1539</v>
      </c>
      <c r="B84" s="118" t="s">
        <v>1447</v>
      </c>
      <c r="C84" s="257" t="s">
        <v>1448</v>
      </c>
      <c r="D84" s="216" t="s">
        <v>92</v>
      </c>
      <c r="E84" s="252">
        <f>'Memória aço'!D47</f>
        <v>829</v>
      </c>
      <c r="F84" s="238">
        <v>5.95</v>
      </c>
      <c r="G84" s="208">
        <f t="shared" si="6"/>
        <v>4932.55</v>
      </c>
    </row>
    <row r="85" spans="1:11" s="237" customFormat="1" ht="43.5" customHeight="1">
      <c r="A85" s="205" t="s">
        <v>1540</v>
      </c>
      <c r="B85" s="118" t="s">
        <v>1449</v>
      </c>
      <c r="C85" s="257" t="s">
        <v>1467</v>
      </c>
      <c r="D85" s="216" t="s">
        <v>92</v>
      </c>
      <c r="E85" s="252">
        <f>'Memória aço'!D48</f>
        <v>13</v>
      </c>
      <c r="F85" s="238">
        <v>5.45</v>
      </c>
      <c r="G85" s="208">
        <f t="shared" si="6"/>
        <v>70.849999999999994</v>
      </c>
    </row>
    <row r="86" spans="1:11" s="237" customFormat="1" ht="38.25">
      <c r="A86" s="205" t="s">
        <v>1541</v>
      </c>
      <c r="B86" s="118" t="s">
        <v>702</v>
      </c>
      <c r="C86" s="119" t="s">
        <v>701</v>
      </c>
      <c r="D86" s="216" t="s">
        <v>61</v>
      </c>
      <c r="E86" s="252">
        <v>35</v>
      </c>
      <c r="F86" s="263">
        <f>'Comp. ORSE com insumos SINAPI'!G153</f>
        <v>345.01062000000002</v>
      </c>
      <c r="G86" s="208">
        <f t="shared" si="6"/>
        <v>12075.37</v>
      </c>
    </row>
    <row r="87" spans="1:11" s="85" customFormat="1" ht="27.75" customHeight="1">
      <c r="A87" s="95" t="s">
        <v>180</v>
      </c>
      <c r="B87" s="96"/>
      <c r="C87" s="211" t="s">
        <v>3</v>
      </c>
      <c r="D87" s="97"/>
      <c r="E87" s="253"/>
      <c r="F87" s="93"/>
      <c r="G87" s="92">
        <f>ROUND(SUM(G88:G91),2)</f>
        <v>78999.83</v>
      </c>
    </row>
    <row r="88" spans="1:11" s="85" customFormat="1" ht="38.25">
      <c r="A88" s="55" t="s">
        <v>412</v>
      </c>
      <c r="B88" s="47" t="s">
        <v>800</v>
      </c>
      <c r="C88" s="212" t="s">
        <v>409</v>
      </c>
      <c r="D88" s="88" t="s">
        <v>9</v>
      </c>
      <c r="E88" s="256">
        <f>'Memória Civil'!P99</f>
        <v>1360.797</v>
      </c>
      <c r="F88" s="101">
        <v>49.42</v>
      </c>
      <c r="G88" s="40">
        <f>ROUND(E88*F88,2)</f>
        <v>67250.59</v>
      </c>
    </row>
    <row r="89" spans="1:11" ht="27.75" customHeight="1">
      <c r="A89" s="55" t="s">
        <v>66</v>
      </c>
      <c r="B89" s="38" t="s">
        <v>801</v>
      </c>
      <c r="C89" s="213" t="s">
        <v>700</v>
      </c>
      <c r="D89" s="41" t="s">
        <v>9</v>
      </c>
      <c r="E89" s="255">
        <f>'Memória Civil'!P124</f>
        <v>7.5600000000000005</v>
      </c>
      <c r="F89" s="43">
        <v>513.28</v>
      </c>
      <c r="G89" s="40">
        <f>ROUND(E89*F89,2)</f>
        <v>3880.4</v>
      </c>
    </row>
    <row r="90" spans="1:11" ht="27.75" customHeight="1">
      <c r="A90" s="55" t="s">
        <v>67</v>
      </c>
      <c r="B90" s="38" t="s">
        <v>802</v>
      </c>
      <c r="C90" s="119" t="s">
        <v>220</v>
      </c>
      <c r="D90" s="41" t="s">
        <v>11</v>
      </c>
      <c r="E90" s="255">
        <f>'Memória Civil'!P128</f>
        <v>349.0328571428571</v>
      </c>
      <c r="F90" s="43">
        <v>1.7</v>
      </c>
      <c r="G90" s="40">
        <f>ROUND(E90*F90,2)</f>
        <v>593.36</v>
      </c>
      <c r="K90" s="64" t="e">
        <f>SUM(#REF!)</f>
        <v>#REF!</v>
      </c>
    </row>
    <row r="91" spans="1:11" ht="27.75" customHeight="1">
      <c r="A91" s="55" t="s">
        <v>1542</v>
      </c>
      <c r="B91" s="200" t="s">
        <v>804</v>
      </c>
      <c r="C91" s="119" t="s">
        <v>1543</v>
      </c>
      <c r="D91" s="39" t="s">
        <v>11</v>
      </c>
      <c r="E91" s="255">
        <f>'Memória Civil'!P132+72</f>
        <v>228</v>
      </c>
      <c r="F91" s="48">
        <v>31.91</v>
      </c>
      <c r="G91" s="40">
        <f>ROUND(E91*F91,2)</f>
        <v>7275.48</v>
      </c>
      <c r="H91" s="693">
        <f>E91/2.5</f>
        <v>91.2</v>
      </c>
      <c r="I91" s="63">
        <f>H91*1.15</f>
        <v>104.88</v>
      </c>
    </row>
    <row r="92" spans="1:11" s="85" customFormat="1" ht="23.25" customHeight="1">
      <c r="A92" s="95" t="s">
        <v>181</v>
      </c>
      <c r="B92" s="96"/>
      <c r="C92" s="211" t="s">
        <v>125</v>
      </c>
      <c r="D92" s="97"/>
      <c r="E92" s="253"/>
      <c r="F92" s="93"/>
      <c r="G92" s="92">
        <f>ROUND(SUM(G93:G96),2)</f>
        <v>12002.83</v>
      </c>
    </row>
    <row r="93" spans="1:11" s="204" customFormat="1" ht="39.75" customHeight="1">
      <c r="A93" s="205" t="s">
        <v>126</v>
      </c>
      <c r="B93" s="307" t="s">
        <v>699</v>
      </c>
      <c r="C93" s="142" t="s">
        <v>698</v>
      </c>
      <c r="D93" s="216" t="s">
        <v>9</v>
      </c>
      <c r="E93" s="252">
        <f>'Memória Civil'!P137</f>
        <v>179.64</v>
      </c>
      <c r="F93" s="238">
        <v>11.8</v>
      </c>
      <c r="G93" s="208">
        <f>ROUND(E93*F93,2)</f>
        <v>2119.75</v>
      </c>
      <c r="H93" s="237"/>
      <c r="I93" s="204">
        <v>472.26</v>
      </c>
      <c r="J93" s="204">
        <f>I93*0.025</f>
        <v>11.8065</v>
      </c>
    </row>
    <row r="94" spans="1:11" s="204" customFormat="1" ht="27.75" customHeight="1">
      <c r="A94" s="205" t="s">
        <v>127</v>
      </c>
      <c r="B94" s="118">
        <v>98563</v>
      </c>
      <c r="C94" s="119" t="s">
        <v>697</v>
      </c>
      <c r="D94" s="216" t="s">
        <v>9</v>
      </c>
      <c r="E94" s="252">
        <f>'Memória Civil'!P147</f>
        <v>182.76</v>
      </c>
      <c r="F94" s="238">
        <v>20.43</v>
      </c>
      <c r="G94" s="208">
        <f>ROUND(E94*F94,2)</f>
        <v>3733.79</v>
      </c>
      <c r="H94" s="237"/>
    </row>
    <row r="95" spans="1:11" s="204" customFormat="1" ht="27.75" customHeight="1">
      <c r="A95" s="205" t="s">
        <v>182</v>
      </c>
      <c r="B95" s="118" t="s">
        <v>696</v>
      </c>
      <c r="C95" s="119" t="s">
        <v>695</v>
      </c>
      <c r="D95" s="216" t="s">
        <v>11</v>
      </c>
      <c r="E95" s="252">
        <f>7.1*6+11.8</f>
        <v>54.399999999999991</v>
      </c>
      <c r="F95" s="238">
        <v>50</v>
      </c>
      <c r="G95" s="208">
        <f>ROUND(E95*F95,2)</f>
        <v>2720</v>
      </c>
      <c r="H95" s="237"/>
    </row>
    <row r="96" spans="1:11" s="204" customFormat="1" ht="27.75" customHeight="1">
      <c r="A96" s="205" t="s">
        <v>654</v>
      </c>
      <c r="B96" s="118" t="s">
        <v>161</v>
      </c>
      <c r="C96" s="119" t="s">
        <v>221</v>
      </c>
      <c r="D96" s="216" t="s">
        <v>9</v>
      </c>
      <c r="E96" s="252">
        <f>'Memória Civil'!P157+'Memoria estrutural'!L28</f>
        <v>430.81470000000002</v>
      </c>
      <c r="F96" s="238">
        <v>7.96</v>
      </c>
      <c r="G96" s="208">
        <f>ROUND(E96*F96,2)</f>
        <v>3429.29</v>
      </c>
      <c r="H96" s="485">
        <f>G96/G92</f>
        <v>0.28570678748261868</v>
      </c>
    </row>
    <row r="97" spans="1:8" s="85" customFormat="1" ht="27.75" customHeight="1">
      <c r="A97" s="95" t="s">
        <v>183</v>
      </c>
      <c r="B97" s="96"/>
      <c r="C97" s="211" t="s">
        <v>91</v>
      </c>
      <c r="D97" s="98"/>
      <c r="E97" s="253"/>
      <c r="F97" s="93"/>
      <c r="G97" s="92">
        <f>ROUND(SUM(G98:G102),2)</f>
        <v>91577.61</v>
      </c>
      <c r="H97" s="237"/>
    </row>
    <row r="98" spans="1:8" ht="38.25">
      <c r="A98" s="46" t="s">
        <v>14</v>
      </c>
      <c r="B98" s="38" t="s">
        <v>960</v>
      </c>
      <c r="C98" s="119" t="s">
        <v>694</v>
      </c>
      <c r="D98" s="41" t="s">
        <v>9</v>
      </c>
      <c r="E98" s="255">
        <f>'Memória Civil'!P162</f>
        <v>787.38</v>
      </c>
      <c r="F98" s="43">
        <v>40.28</v>
      </c>
      <c r="G98" s="40">
        <f>ROUND(E98*F98,2)</f>
        <v>31715.67</v>
      </c>
      <c r="H98" s="237"/>
    </row>
    <row r="99" spans="1:8" ht="27.75" customHeight="1">
      <c r="A99" s="46" t="s">
        <v>45</v>
      </c>
      <c r="B99" s="86" t="s">
        <v>393</v>
      </c>
      <c r="C99" s="142" t="s">
        <v>394</v>
      </c>
      <c r="D99" s="106" t="s">
        <v>9</v>
      </c>
      <c r="E99" s="255">
        <f>'Memória Civil'!P167</f>
        <v>787.38</v>
      </c>
      <c r="F99" s="43">
        <f>27.8+4.28</f>
        <v>32.08</v>
      </c>
      <c r="G99" s="40">
        <f>ROUND(E99*F99,2)</f>
        <v>25259.15</v>
      </c>
      <c r="H99" s="237"/>
    </row>
    <row r="100" spans="1:8" ht="27.75" customHeight="1">
      <c r="A100" s="46" t="s">
        <v>65</v>
      </c>
      <c r="B100" s="86" t="s">
        <v>959</v>
      </c>
      <c r="C100" s="142" t="s">
        <v>693</v>
      </c>
      <c r="D100" s="106" t="s">
        <v>11</v>
      </c>
      <c r="E100" s="255">
        <f>'Memória Civil'!P172</f>
        <v>60.92</v>
      </c>
      <c r="F100" s="87">
        <v>51.37</v>
      </c>
      <c r="G100" s="40">
        <f>ROUND(E100*F100,2)</f>
        <v>3129.46</v>
      </c>
      <c r="H100" s="47"/>
    </row>
    <row r="101" spans="1:8" ht="27.75" customHeight="1">
      <c r="A101" s="46" t="s">
        <v>121</v>
      </c>
      <c r="B101" s="200" t="s">
        <v>692</v>
      </c>
      <c r="C101" s="119" t="s">
        <v>222</v>
      </c>
      <c r="D101" s="39" t="s">
        <v>9</v>
      </c>
      <c r="E101" s="255">
        <f>'Memória Civil'!P176</f>
        <v>182.76</v>
      </c>
      <c r="F101" s="48">
        <f>'Comp. ORSE com insumos SINAPI'!G171</f>
        <v>165.40109999999999</v>
      </c>
      <c r="G101" s="40">
        <f>ROUND(E101*F101,2)</f>
        <v>30228.71</v>
      </c>
      <c r="H101" s="38"/>
    </row>
    <row r="102" spans="1:8" s="204" customFormat="1" ht="25.5">
      <c r="A102" s="46" t="s">
        <v>122</v>
      </c>
      <c r="B102" s="342" t="s">
        <v>1078</v>
      </c>
      <c r="C102" s="119" t="s">
        <v>1079</v>
      </c>
      <c r="D102" s="216" t="s">
        <v>11</v>
      </c>
      <c r="E102" s="206">
        <f>'Memória Civil'!P181</f>
        <v>56</v>
      </c>
      <c r="F102" s="238">
        <f>'Comp. ORSE com insumos SINAPI'!G186</f>
        <v>22.225300000000001</v>
      </c>
      <c r="G102" s="208">
        <f>ROUND(E102*F102,2)</f>
        <v>1244.6199999999999</v>
      </c>
      <c r="H102" s="118"/>
    </row>
    <row r="103" spans="1:8" s="85" customFormat="1" ht="17.25" customHeight="1">
      <c r="A103" s="429" t="s">
        <v>184</v>
      </c>
      <c r="B103" s="289"/>
      <c r="C103" s="211" t="s">
        <v>160</v>
      </c>
      <c r="D103" s="97"/>
      <c r="E103" s="253"/>
      <c r="F103" s="93"/>
      <c r="G103" s="92">
        <f>ROUND(SUM(G104:G109),2)</f>
        <v>142703.5</v>
      </c>
    </row>
    <row r="104" spans="1:8" s="204" customFormat="1" ht="38.25">
      <c r="A104" s="205" t="s">
        <v>123</v>
      </c>
      <c r="B104" s="38" t="s">
        <v>163</v>
      </c>
      <c r="C104" s="330" t="s">
        <v>1104</v>
      </c>
      <c r="D104" s="41" t="s">
        <v>9</v>
      </c>
      <c r="E104" s="341">
        <f>'Memória Civil'!P186</f>
        <v>6.3359999999999994</v>
      </c>
      <c r="F104" s="48">
        <v>684</v>
      </c>
      <c r="G104" s="219">
        <f t="shared" ref="G104:G109" si="7">ROUND(E104*F104,2)</f>
        <v>4333.82</v>
      </c>
    </row>
    <row r="105" spans="1:8" s="204" customFormat="1" ht="48" customHeight="1">
      <c r="A105" s="205" t="s">
        <v>124</v>
      </c>
      <c r="B105" s="38" t="s">
        <v>163</v>
      </c>
      <c r="C105" s="119" t="s">
        <v>1107</v>
      </c>
      <c r="D105" s="41" t="s">
        <v>9</v>
      </c>
      <c r="E105" s="341">
        <f>'Memória Civil'!P190</f>
        <v>37.631999999999998</v>
      </c>
      <c r="F105" s="217">
        <v>712.8</v>
      </c>
      <c r="G105" s="219">
        <f t="shared" si="7"/>
        <v>26824.09</v>
      </c>
    </row>
    <row r="106" spans="1:8" s="204" customFormat="1" ht="51">
      <c r="A106" s="205" t="s">
        <v>56</v>
      </c>
      <c r="B106" s="38" t="s">
        <v>163</v>
      </c>
      <c r="C106" s="330" t="s">
        <v>1105</v>
      </c>
      <c r="D106" s="41" t="s">
        <v>9</v>
      </c>
      <c r="E106" s="257">
        <f>'Memória Civil'!P195</f>
        <v>5.3759999999999994</v>
      </c>
      <c r="F106" s="48">
        <v>712.8</v>
      </c>
      <c r="G106" s="219">
        <f t="shared" si="7"/>
        <v>3832.01</v>
      </c>
    </row>
    <row r="107" spans="1:8" s="204" customFormat="1" ht="38.25">
      <c r="A107" s="205" t="s">
        <v>132</v>
      </c>
      <c r="B107" s="38" t="s">
        <v>163</v>
      </c>
      <c r="C107" s="330" t="s">
        <v>1106</v>
      </c>
      <c r="D107" s="41" t="s">
        <v>9</v>
      </c>
      <c r="E107" s="257">
        <f>'Memória Civil'!P199</f>
        <v>5.3759999999999994</v>
      </c>
      <c r="F107" s="48">
        <v>684</v>
      </c>
      <c r="G107" s="219">
        <f t="shared" si="7"/>
        <v>3677.18</v>
      </c>
    </row>
    <row r="108" spans="1:8" s="204" customFormat="1" ht="25.5">
      <c r="A108" s="205" t="s">
        <v>133</v>
      </c>
      <c r="B108" s="38" t="s">
        <v>163</v>
      </c>
      <c r="C108" s="330" t="s">
        <v>1544</v>
      </c>
      <c r="D108" s="41" t="s">
        <v>9</v>
      </c>
      <c r="E108" s="257">
        <f>'Memória Civil'!P203</f>
        <v>150</v>
      </c>
      <c r="F108" s="48">
        <v>675</v>
      </c>
      <c r="G108" s="219">
        <f t="shared" si="7"/>
        <v>101250</v>
      </c>
    </row>
    <row r="109" spans="1:8" s="204" customFormat="1" ht="25.5">
      <c r="A109" s="205" t="s">
        <v>134</v>
      </c>
      <c r="B109" s="118" t="s">
        <v>163</v>
      </c>
      <c r="C109" s="119" t="s">
        <v>1545</v>
      </c>
      <c r="D109" s="216" t="s">
        <v>9</v>
      </c>
      <c r="E109" s="257">
        <f>'Memória Civil'!P208</f>
        <v>3</v>
      </c>
      <c r="F109" s="217">
        <v>928.8</v>
      </c>
      <c r="G109" s="219">
        <f t="shared" si="7"/>
        <v>2786.4</v>
      </c>
    </row>
    <row r="110" spans="1:8" s="85" customFormat="1">
      <c r="A110" s="49" t="s">
        <v>185</v>
      </c>
      <c r="B110" s="50"/>
      <c r="C110" s="214" t="s">
        <v>6</v>
      </c>
      <c r="D110" s="51"/>
      <c r="E110" s="253"/>
      <c r="F110" s="93"/>
      <c r="G110" s="92">
        <f>ROUND(SUM(G111:G111),2)</f>
        <v>2032.76</v>
      </c>
    </row>
    <row r="111" spans="1:8" s="204" customFormat="1" ht="25.5">
      <c r="A111" s="205" t="s">
        <v>15</v>
      </c>
      <c r="B111" s="118" t="s">
        <v>593</v>
      </c>
      <c r="C111" s="119" t="s">
        <v>159</v>
      </c>
      <c r="D111" s="216" t="s">
        <v>9</v>
      </c>
      <c r="E111" s="252">
        <f>'Memória Civil'!P216</f>
        <v>5.0999999999999996</v>
      </c>
      <c r="F111" s="217">
        <v>398.58</v>
      </c>
      <c r="G111" s="208">
        <f>ROUND(E111*F111,2)</f>
        <v>2032.76</v>
      </c>
    </row>
    <row r="112" spans="1:8" s="85" customFormat="1">
      <c r="A112" s="99" t="s">
        <v>186</v>
      </c>
      <c r="B112" s="52"/>
      <c r="C112" s="53" t="s">
        <v>51</v>
      </c>
      <c r="D112" s="54"/>
      <c r="E112" s="253"/>
      <c r="F112" s="93"/>
      <c r="G112" s="92">
        <f>ROUND(SUM(G113:G113),2)</f>
        <v>26809.74</v>
      </c>
    </row>
    <row r="113" spans="1:10" s="204" customFormat="1" ht="25.5">
      <c r="A113" s="220" t="s">
        <v>174</v>
      </c>
      <c r="B113" s="118" t="s">
        <v>495</v>
      </c>
      <c r="C113" s="119" t="s">
        <v>598</v>
      </c>
      <c r="D113" s="216" t="s">
        <v>9</v>
      </c>
      <c r="E113" s="252">
        <f>'Memória Civil'!P222</f>
        <v>817.37</v>
      </c>
      <c r="F113" s="217">
        <f>'Comp. ORSE com insumos SINAPI'!G193</f>
        <v>32.799999999999997</v>
      </c>
      <c r="G113" s="208">
        <f>E113*F113</f>
        <v>26809.735999999997</v>
      </c>
    </row>
    <row r="114" spans="1:10" s="85" customFormat="1">
      <c r="A114" s="99" t="s">
        <v>187</v>
      </c>
      <c r="B114" s="52"/>
      <c r="C114" s="211" t="s">
        <v>12</v>
      </c>
      <c r="D114" s="97"/>
      <c r="E114" s="253"/>
      <c r="F114" s="93"/>
      <c r="G114" s="92">
        <f>ROUND(SUM(G115:G122),2)</f>
        <v>143775.51</v>
      </c>
    </row>
    <row r="115" spans="1:10" s="204" customFormat="1" ht="25.5">
      <c r="A115" s="229" t="s">
        <v>57</v>
      </c>
      <c r="B115" s="118" t="s">
        <v>599</v>
      </c>
      <c r="C115" s="119" t="s">
        <v>395</v>
      </c>
      <c r="D115" s="216" t="s">
        <v>9</v>
      </c>
      <c r="E115" s="252">
        <f>'Memória Civil'!P234</f>
        <v>789.30199999999991</v>
      </c>
      <c r="F115" s="217">
        <v>2.39</v>
      </c>
      <c r="G115" s="208">
        <f t="shared" ref="G115:G122" si="8">ROUND(E115*F115,2)</f>
        <v>1886.43</v>
      </c>
      <c r="H115" s="230"/>
      <c r="I115" s="231"/>
    </row>
    <row r="116" spans="1:10" s="204" customFormat="1" ht="42.75" customHeight="1">
      <c r="A116" s="229" t="s">
        <v>965</v>
      </c>
      <c r="B116" s="118" t="s">
        <v>821</v>
      </c>
      <c r="C116" s="119" t="s">
        <v>826</v>
      </c>
      <c r="D116" s="216" t="s">
        <v>9</v>
      </c>
      <c r="E116" s="252">
        <f>'Memória Civil'!P245</f>
        <v>1834.85</v>
      </c>
      <c r="F116" s="217">
        <v>5.05</v>
      </c>
      <c r="G116" s="208">
        <f t="shared" si="8"/>
        <v>9265.99</v>
      </c>
      <c r="H116" s="230"/>
      <c r="I116" s="231"/>
    </row>
    <row r="117" spans="1:10" s="204" customFormat="1" ht="51">
      <c r="A117" s="229" t="s">
        <v>966</v>
      </c>
      <c r="B117" s="118" t="s">
        <v>600</v>
      </c>
      <c r="C117" s="119" t="s">
        <v>223</v>
      </c>
      <c r="D117" s="216" t="s">
        <v>9</v>
      </c>
      <c r="E117" s="252">
        <f>'Memória Civil'!P260</f>
        <v>143.19999999999999</v>
      </c>
      <c r="F117" s="217">
        <v>17.05</v>
      </c>
      <c r="G117" s="208">
        <f t="shared" si="8"/>
        <v>2441.56</v>
      </c>
      <c r="H117" s="230"/>
    </row>
    <row r="118" spans="1:10" s="204" customFormat="1" ht="38.25">
      <c r="A118" s="229" t="s">
        <v>967</v>
      </c>
      <c r="B118" s="118" t="s">
        <v>601</v>
      </c>
      <c r="C118" s="119" t="s">
        <v>224</v>
      </c>
      <c r="D118" s="216" t="s">
        <v>9</v>
      </c>
      <c r="E118" s="252">
        <f>'Memória Civil'!P266</f>
        <v>1834.85</v>
      </c>
      <c r="F118" s="217">
        <v>31.51</v>
      </c>
      <c r="G118" s="208">
        <f t="shared" si="8"/>
        <v>57816.12</v>
      </c>
      <c r="H118" s="230"/>
    </row>
    <row r="119" spans="1:10" s="204" customFormat="1" ht="38.25">
      <c r="A119" s="229" t="s">
        <v>968</v>
      </c>
      <c r="B119" s="118" t="s">
        <v>602</v>
      </c>
      <c r="C119" s="119" t="s">
        <v>396</v>
      </c>
      <c r="D119" s="216" t="s">
        <v>9</v>
      </c>
      <c r="E119" s="252">
        <f>'Memória Civil'!P281</f>
        <v>646.10199999999986</v>
      </c>
      <c r="F119" s="217">
        <v>19.89</v>
      </c>
      <c r="G119" s="208">
        <f t="shared" si="8"/>
        <v>12850.97</v>
      </c>
      <c r="H119" s="230"/>
    </row>
    <row r="120" spans="1:10" s="204" customFormat="1" ht="25.5">
      <c r="A120" s="229" t="s">
        <v>969</v>
      </c>
      <c r="B120" s="118" t="s">
        <v>226</v>
      </c>
      <c r="C120" s="119" t="s">
        <v>225</v>
      </c>
      <c r="D120" s="216" t="s">
        <v>9</v>
      </c>
      <c r="E120" s="252">
        <f>'Memória Civil'!P290</f>
        <v>381.48700000000002</v>
      </c>
      <c r="F120" s="217">
        <f>'Comp. ORSE com insumos SINAPI'!G203</f>
        <v>50.083500000000001</v>
      </c>
      <c r="G120" s="208">
        <f t="shared" si="8"/>
        <v>19106.2</v>
      </c>
      <c r="H120" s="230"/>
    </row>
    <row r="121" spans="1:10" s="204" customFormat="1" ht="33.75" customHeight="1">
      <c r="A121" s="229" t="s">
        <v>970</v>
      </c>
      <c r="B121" s="118" t="s">
        <v>932</v>
      </c>
      <c r="C121" s="119" t="s">
        <v>246</v>
      </c>
      <c r="D121" s="216" t="s">
        <v>9</v>
      </c>
      <c r="E121" s="252">
        <f>'Memória Civil'!P299</f>
        <v>1008.8699999999999</v>
      </c>
      <c r="F121" s="217">
        <f>'Composições IFPB'!G18</f>
        <v>37.340266666666665</v>
      </c>
      <c r="G121" s="208">
        <f t="shared" si="8"/>
        <v>37671.47</v>
      </c>
      <c r="H121" s="230"/>
    </row>
    <row r="122" spans="1:10" s="204" customFormat="1" ht="22.5" customHeight="1">
      <c r="A122" s="229" t="s">
        <v>971</v>
      </c>
      <c r="B122" s="118" t="s">
        <v>454</v>
      </c>
      <c r="C122" s="119" t="s">
        <v>507</v>
      </c>
      <c r="D122" s="216" t="s">
        <v>453</v>
      </c>
      <c r="E122" s="252">
        <f>'Memória Civil'!P307</f>
        <v>993.6</v>
      </c>
      <c r="F122" s="217">
        <f>'Comp. ORSE com insumos SINAPI'!G219</f>
        <v>2.7544</v>
      </c>
      <c r="G122" s="208">
        <f t="shared" si="8"/>
        <v>2736.77</v>
      </c>
      <c r="H122" s="286"/>
    </row>
    <row r="123" spans="1:10" s="85" customFormat="1" ht="21.75" customHeight="1">
      <c r="A123" s="95" t="s">
        <v>188</v>
      </c>
      <c r="B123" s="96"/>
      <c r="C123" s="211" t="s">
        <v>4</v>
      </c>
      <c r="D123" s="97"/>
      <c r="E123" s="253"/>
      <c r="F123" s="93"/>
      <c r="G123" s="92">
        <f>ROUND(SUM(G124:G131),2)</f>
        <v>116089.81</v>
      </c>
    </row>
    <row r="124" spans="1:10" s="204" customFormat="1" ht="28.5" customHeight="1">
      <c r="A124" s="229" t="s">
        <v>140</v>
      </c>
      <c r="B124" s="230" t="s">
        <v>858</v>
      </c>
      <c r="C124" s="212" t="s">
        <v>859</v>
      </c>
      <c r="D124" s="216" t="s">
        <v>9</v>
      </c>
      <c r="E124" s="254">
        <f>'Memória Civil'!P312</f>
        <v>745.37</v>
      </c>
      <c r="F124" s="250">
        <f>'Comp. ORSE com insumos SINAPI'!G304</f>
        <v>18.040000000000003</v>
      </c>
      <c r="G124" s="208">
        <f t="shared" ref="G124:G131" si="9">ROUND(E124*F124,2)</f>
        <v>13446.47</v>
      </c>
    </row>
    <row r="125" spans="1:10" s="204" customFormat="1" ht="28.5" customHeight="1">
      <c r="A125" s="229" t="s">
        <v>141</v>
      </c>
      <c r="B125" s="118" t="s">
        <v>933</v>
      </c>
      <c r="C125" s="119" t="s">
        <v>227</v>
      </c>
      <c r="D125" s="216" t="s">
        <v>9</v>
      </c>
      <c r="E125" s="252">
        <f>'Memória Civil'!P324</f>
        <v>745.37</v>
      </c>
      <c r="F125" s="217">
        <f>'Composições IFPB'!G25</f>
        <v>24.201799999999999</v>
      </c>
      <c r="G125" s="208">
        <f t="shared" si="9"/>
        <v>18039.3</v>
      </c>
      <c r="H125" s="118"/>
      <c r="J125" s="204">
        <f>117.43/0.07</f>
        <v>1677.5714285714284</v>
      </c>
    </row>
    <row r="126" spans="1:10" s="204" customFormat="1" ht="36" customHeight="1">
      <c r="A126" s="229" t="s">
        <v>151</v>
      </c>
      <c r="B126" s="118" t="s">
        <v>934</v>
      </c>
      <c r="C126" s="119" t="s">
        <v>341</v>
      </c>
      <c r="D126" s="216" t="s">
        <v>9</v>
      </c>
      <c r="E126" s="252">
        <f>'Memória Civil'!P335</f>
        <v>80</v>
      </c>
      <c r="F126" s="217">
        <f>'Composições IFPB'!G37</f>
        <v>72.555530000000005</v>
      </c>
      <c r="G126" s="208">
        <f t="shared" si="9"/>
        <v>5804.44</v>
      </c>
      <c r="H126" s="237"/>
    </row>
    <row r="127" spans="1:10" s="204" customFormat="1" ht="25.5">
      <c r="A127" s="229" t="s">
        <v>413</v>
      </c>
      <c r="B127" s="118" t="s">
        <v>448</v>
      </c>
      <c r="C127" s="119" t="s">
        <v>449</v>
      </c>
      <c r="D127" s="216" t="s">
        <v>9</v>
      </c>
      <c r="E127" s="252">
        <f>'Memória Civil'!P339</f>
        <v>683.43000000000006</v>
      </c>
      <c r="F127" s="217">
        <v>91.81</v>
      </c>
      <c r="G127" s="208">
        <f t="shared" si="9"/>
        <v>62745.71</v>
      </c>
      <c r="H127" s="118"/>
    </row>
    <row r="128" spans="1:10" s="204" customFormat="1" ht="17.25" customHeight="1">
      <c r="A128" s="229" t="s">
        <v>414</v>
      </c>
      <c r="B128" s="118" t="s">
        <v>162</v>
      </c>
      <c r="C128" s="119" t="s">
        <v>508</v>
      </c>
      <c r="D128" s="216" t="s">
        <v>11</v>
      </c>
      <c r="E128" s="252">
        <f>'Memória Civil'!P347</f>
        <v>409</v>
      </c>
      <c r="F128" s="283">
        <f>'Comp. ORSE com insumos SINAPI'!G310</f>
        <v>13.15</v>
      </c>
      <c r="G128" s="208">
        <f t="shared" si="9"/>
        <v>5378.35</v>
      </c>
      <c r="H128" s="118"/>
    </row>
    <row r="129" spans="1:8" s="204" customFormat="1" ht="17.25" customHeight="1">
      <c r="A129" s="229" t="s">
        <v>152</v>
      </c>
      <c r="B129" s="285" t="s">
        <v>455</v>
      </c>
      <c r="C129" s="119" t="s">
        <v>456</v>
      </c>
      <c r="D129" s="216" t="s">
        <v>11</v>
      </c>
      <c r="E129" s="252">
        <f>'Memória Civil'!P358</f>
        <v>9.9</v>
      </c>
      <c r="F129" s="283">
        <v>65.11</v>
      </c>
      <c r="G129" s="208">
        <f t="shared" si="9"/>
        <v>644.59</v>
      </c>
      <c r="H129" s="118"/>
    </row>
    <row r="130" spans="1:8" s="204" customFormat="1" ht="33" customHeight="1">
      <c r="A130" s="229" t="s">
        <v>153</v>
      </c>
      <c r="B130" s="118" t="s">
        <v>226</v>
      </c>
      <c r="C130" s="119" t="s">
        <v>225</v>
      </c>
      <c r="D130" s="216" t="s">
        <v>9</v>
      </c>
      <c r="E130" s="252">
        <f>'Memória Civil'!P363</f>
        <v>36.44</v>
      </c>
      <c r="F130" s="283">
        <f>'Comp. ORSE com insumos SINAPI'!G203</f>
        <v>50.083500000000001</v>
      </c>
      <c r="G130" s="208">
        <f t="shared" si="9"/>
        <v>1825.04</v>
      </c>
      <c r="H130" s="237"/>
    </row>
    <row r="131" spans="1:8" ht="26.25" customHeight="1">
      <c r="A131" s="229" t="s">
        <v>154</v>
      </c>
      <c r="B131" s="105" t="s">
        <v>1080</v>
      </c>
      <c r="C131" s="338" t="s">
        <v>1081</v>
      </c>
      <c r="D131" s="41" t="s">
        <v>9</v>
      </c>
      <c r="E131" s="39">
        <f>'Memória Civil'!P369</f>
        <v>26.85</v>
      </c>
      <c r="F131" s="339">
        <f>'Comp. ORSE com insumos SINAPI'!G213</f>
        <v>305.62050000000011</v>
      </c>
      <c r="G131" s="208">
        <f t="shared" si="9"/>
        <v>8205.91</v>
      </c>
      <c r="H131" s="42"/>
    </row>
    <row r="132" spans="1:8" s="85" customFormat="1" ht="28.5" customHeight="1">
      <c r="A132" s="49" t="s">
        <v>189</v>
      </c>
      <c r="B132" s="65"/>
      <c r="C132" s="214" t="s">
        <v>46</v>
      </c>
      <c r="D132" s="51"/>
      <c r="E132" s="253"/>
      <c r="F132" s="93"/>
      <c r="G132" s="92">
        <f>ROUND(SUM(G133:G178),2)</f>
        <v>20717.98</v>
      </c>
      <c r="H132" s="38"/>
    </row>
    <row r="133" spans="1:8" s="204" customFormat="1" ht="28.5" customHeight="1">
      <c r="A133" s="282" t="s">
        <v>58</v>
      </c>
      <c r="B133" s="120" t="s">
        <v>1192</v>
      </c>
      <c r="C133" s="132" t="s">
        <v>1431</v>
      </c>
      <c r="D133" s="328" t="s">
        <v>10</v>
      </c>
      <c r="E133" s="254">
        <v>8</v>
      </c>
      <c r="F133" s="250">
        <f>'Composições IFPB'!G48</f>
        <v>178.952</v>
      </c>
      <c r="G133" s="329">
        <f t="shared" ref="G133:G178" si="10">ROUND(E133*F133,2)</f>
        <v>1431.62</v>
      </c>
      <c r="H133" s="430"/>
    </row>
    <row r="134" spans="1:8" s="204" customFormat="1" ht="28.5" customHeight="1">
      <c r="A134" s="282" t="s">
        <v>105</v>
      </c>
      <c r="B134" s="120" t="s">
        <v>1445</v>
      </c>
      <c r="C134" s="241" t="s">
        <v>1446</v>
      </c>
      <c r="D134" s="328" t="s">
        <v>10</v>
      </c>
      <c r="E134" s="254">
        <v>11</v>
      </c>
      <c r="F134" s="250">
        <v>346</v>
      </c>
      <c r="G134" s="329">
        <f t="shared" si="10"/>
        <v>3806</v>
      </c>
      <c r="H134" s="430"/>
    </row>
    <row r="135" spans="1:8" s="204" customFormat="1" ht="19.5" customHeight="1">
      <c r="A135" s="282" t="s">
        <v>106</v>
      </c>
      <c r="B135" s="118" t="s">
        <v>1257</v>
      </c>
      <c r="C135" s="119" t="s">
        <v>1256</v>
      </c>
      <c r="D135" s="328" t="s">
        <v>10</v>
      </c>
      <c r="E135" s="254">
        <f>2+10+2</f>
        <v>14</v>
      </c>
      <c r="F135" s="217">
        <f>'Comp. ORSE com insumos SINAPI'!G227</f>
        <v>32.07</v>
      </c>
      <c r="G135" s="329">
        <f t="shared" si="10"/>
        <v>448.98</v>
      </c>
    </row>
    <row r="136" spans="1:8" s="204" customFormat="1" ht="25.5">
      <c r="A136" s="282" t="s">
        <v>865</v>
      </c>
      <c r="B136" s="118" t="s">
        <v>587</v>
      </c>
      <c r="C136" s="119" t="s">
        <v>252</v>
      </c>
      <c r="D136" s="328" t="s">
        <v>10</v>
      </c>
      <c r="E136" s="254">
        <v>6</v>
      </c>
      <c r="F136" s="217">
        <v>6.43</v>
      </c>
      <c r="G136" s="329">
        <f t="shared" si="10"/>
        <v>38.58</v>
      </c>
    </row>
    <row r="137" spans="1:8" s="204" customFormat="1" ht="35.25" customHeight="1">
      <c r="A137" s="282" t="s">
        <v>107</v>
      </c>
      <c r="B137" s="118" t="s">
        <v>1423</v>
      </c>
      <c r="C137" s="119" t="str">
        <f>'Composições IFPB'!C51</f>
        <v>Ralo Abacaxi 100mm</v>
      </c>
      <c r="D137" s="328" t="s">
        <v>10</v>
      </c>
      <c r="E137" s="254">
        <v>4</v>
      </c>
      <c r="F137" s="217">
        <f>'Composições IFPB'!G59</f>
        <v>12.812768666666667</v>
      </c>
      <c r="G137" s="329">
        <f t="shared" si="10"/>
        <v>51.25</v>
      </c>
    </row>
    <row r="138" spans="1:8" s="204" customFormat="1" ht="35.25" customHeight="1">
      <c r="A138" s="282" t="s">
        <v>142</v>
      </c>
      <c r="B138" s="118" t="s">
        <v>581</v>
      </c>
      <c r="C138" s="241" t="s">
        <v>403</v>
      </c>
      <c r="D138" s="328" t="s">
        <v>10</v>
      </c>
      <c r="E138" s="254">
        <v>14</v>
      </c>
      <c r="F138" s="217">
        <v>15.22</v>
      </c>
      <c r="G138" s="329">
        <f t="shared" si="10"/>
        <v>213.08</v>
      </c>
    </row>
    <row r="139" spans="1:8" s="204" customFormat="1" ht="35.25" customHeight="1">
      <c r="A139" s="282" t="s">
        <v>415</v>
      </c>
      <c r="B139" s="118" t="s">
        <v>1422</v>
      </c>
      <c r="C139" s="119" t="s">
        <v>1421</v>
      </c>
      <c r="D139" s="328" t="s">
        <v>10</v>
      </c>
      <c r="E139" s="254">
        <f>2+2</f>
        <v>4</v>
      </c>
      <c r="F139" s="217">
        <v>8.64</v>
      </c>
      <c r="G139" s="329">
        <f t="shared" si="10"/>
        <v>34.56</v>
      </c>
    </row>
    <row r="140" spans="1:8" s="204" customFormat="1" ht="35.25" customHeight="1">
      <c r="A140" s="282" t="s">
        <v>972</v>
      </c>
      <c r="B140" s="118" t="s">
        <v>582</v>
      </c>
      <c r="C140" s="119" t="s">
        <v>404</v>
      </c>
      <c r="D140" s="328" t="s">
        <v>10</v>
      </c>
      <c r="E140" s="254">
        <v>14</v>
      </c>
      <c r="F140" s="217">
        <v>4.83</v>
      </c>
      <c r="G140" s="329">
        <f t="shared" si="10"/>
        <v>67.62</v>
      </c>
    </row>
    <row r="141" spans="1:8" s="204" customFormat="1" ht="27.75" customHeight="1">
      <c r="A141" s="282" t="s">
        <v>973</v>
      </c>
      <c r="B141" s="118" t="s">
        <v>1259</v>
      </c>
      <c r="C141" s="119" t="s">
        <v>1258</v>
      </c>
      <c r="D141" s="328" t="s">
        <v>10</v>
      </c>
      <c r="E141" s="254">
        <f>11+1+1+1+4</f>
        <v>18</v>
      </c>
      <c r="F141" s="217">
        <f>'Comp. ORSE com insumos SINAPI'!G237</f>
        <v>11.444979999999999</v>
      </c>
      <c r="G141" s="329">
        <f t="shared" si="10"/>
        <v>206.01</v>
      </c>
    </row>
    <row r="142" spans="1:8" s="204" customFormat="1" ht="27.75" customHeight="1">
      <c r="A142" s="282" t="s">
        <v>974</v>
      </c>
      <c r="B142" s="118" t="s">
        <v>1266</v>
      </c>
      <c r="C142" s="119" t="s">
        <v>1267</v>
      </c>
      <c r="D142" s="328" t="s">
        <v>10</v>
      </c>
      <c r="E142" s="254">
        <f>3+12+3</f>
        <v>18</v>
      </c>
      <c r="F142" s="217">
        <f>'Comp. ORSE com insumos SINAPI'!G247</f>
        <v>11.78819</v>
      </c>
      <c r="G142" s="329">
        <f t="shared" si="10"/>
        <v>212.19</v>
      </c>
    </row>
    <row r="143" spans="1:8" s="204" customFormat="1" ht="27.75" customHeight="1">
      <c r="A143" s="282" t="s">
        <v>975</v>
      </c>
      <c r="B143" s="118" t="s">
        <v>1289</v>
      </c>
      <c r="C143" s="119" t="s">
        <v>1288</v>
      </c>
      <c r="D143" s="328" t="s">
        <v>10</v>
      </c>
      <c r="E143" s="254">
        <f>3+6+3</f>
        <v>12</v>
      </c>
      <c r="F143" s="217">
        <f>'Comp. ORSE com insumos SINAPI'!G257</f>
        <v>36.675700000000006</v>
      </c>
      <c r="G143" s="329">
        <f t="shared" si="10"/>
        <v>440.11</v>
      </c>
    </row>
    <row r="144" spans="1:8" s="204" customFormat="1" ht="45.75" customHeight="1">
      <c r="A144" s="282" t="s">
        <v>976</v>
      </c>
      <c r="B144" s="118" t="s">
        <v>1260</v>
      </c>
      <c r="C144" s="119" t="s">
        <v>1263</v>
      </c>
      <c r="D144" s="328" t="s">
        <v>10</v>
      </c>
      <c r="E144" s="254">
        <f>3+6+3</f>
        <v>12</v>
      </c>
      <c r="F144" s="217">
        <v>22.68</v>
      </c>
      <c r="G144" s="329">
        <f t="shared" si="10"/>
        <v>272.16000000000003</v>
      </c>
    </row>
    <row r="145" spans="1:7" s="204" customFormat="1" ht="45.75" customHeight="1">
      <c r="A145" s="282" t="s">
        <v>977</v>
      </c>
      <c r="B145" s="118" t="s">
        <v>1261</v>
      </c>
      <c r="C145" s="119" t="s">
        <v>1262</v>
      </c>
      <c r="D145" s="328" t="s">
        <v>10</v>
      </c>
      <c r="E145" s="254">
        <f>2+2</f>
        <v>4</v>
      </c>
      <c r="F145" s="217">
        <v>11.07</v>
      </c>
      <c r="G145" s="329">
        <f t="shared" si="10"/>
        <v>44.28</v>
      </c>
    </row>
    <row r="146" spans="1:7" s="204" customFormat="1" ht="45.75" customHeight="1">
      <c r="A146" s="282" t="s">
        <v>978</v>
      </c>
      <c r="B146" s="118" t="s">
        <v>1265</v>
      </c>
      <c r="C146" s="119" t="s">
        <v>1264</v>
      </c>
      <c r="D146" s="328" t="s">
        <v>10</v>
      </c>
      <c r="E146" s="254">
        <f>4+19+3</f>
        <v>26</v>
      </c>
      <c r="F146" s="217">
        <v>6.28</v>
      </c>
      <c r="G146" s="329">
        <f t="shared" si="10"/>
        <v>163.28</v>
      </c>
    </row>
    <row r="147" spans="1:7" s="204" customFormat="1" ht="25.5">
      <c r="A147" s="282" t="s">
        <v>979</v>
      </c>
      <c r="B147" s="118" t="s">
        <v>618</v>
      </c>
      <c r="C147" s="119" t="s">
        <v>247</v>
      </c>
      <c r="D147" s="328" t="s">
        <v>10</v>
      </c>
      <c r="E147" s="254">
        <f>2+12+4</f>
        <v>18</v>
      </c>
      <c r="F147" s="217">
        <v>3.78</v>
      </c>
      <c r="G147" s="329">
        <f t="shared" si="10"/>
        <v>68.040000000000006</v>
      </c>
    </row>
    <row r="148" spans="1:7" s="204" customFormat="1" ht="25.5">
      <c r="A148" s="282" t="s">
        <v>980</v>
      </c>
      <c r="B148" s="118" t="s">
        <v>619</v>
      </c>
      <c r="C148" s="119" t="s">
        <v>248</v>
      </c>
      <c r="D148" s="328" t="s">
        <v>10</v>
      </c>
      <c r="E148" s="254">
        <f>2+4</f>
        <v>6</v>
      </c>
      <c r="F148" s="217">
        <v>10.51</v>
      </c>
      <c r="G148" s="329">
        <f t="shared" si="10"/>
        <v>63.06</v>
      </c>
    </row>
    <row r="149" spans="1:7" s="204" customFormat="1" ht="38.25">
      <c r="A149" s="282" t="s">
        <v>981</v>
      </c>
      <c r="B149" s="118" t="s">
        <v>1268</v>
      </c>
      <c r="C149" s="119" t="s">
        <v>1269</v>
      </c>
      <c r="D149" s="328" t="s">
        <v>10</v>
      </c>
      <c r="E149" s="254">
        <f>1+1</f>
        <v>2</v>
      </c>
      <c r="F149" s="217">
        <v>41.02</v>
      </c>
      <c r="G149" s="329">
        <f t="shared" si="10"/>
        <v>82.04</v>
      </c>
    </row>
    <row r="150" spans="1:7" s="204" customFormat="1" ht="28.5" customHeight="1">
      <c r="A150" s="282" t="s">
        <v>982</v>
      </c>
      <c r="B150" s="118" t="s">
        <v>617</v>
      </c>
      <c r="C150" s="119" t="s">
        <v>1444</v>
      </c>
      <c r="D150" s="328" t="s">
        <v>10</v>
      </c>
      <c r="E150" s="254">
        <f>13+4+3</f>
        <v>20</v>
      </c>
      <c r="F150" s="217">
        <v>4.43</v>
      </c>
      <c r="G150" s="329">
        <f t="shared" si="10"/>
        <v>88.6</v>
      </c>
    </row>
    <row r="151" spans="1:7" s="204" customFormat="1" ht="26.25" customHeight="1">
      <c r="A151" s="282" t="s">
        <v>983</v>
      </c>
      <c r="B151" s="118" t="s">
        <v>620</v>
      </c>
      <c r="C151" s="119" t="s">
        <v>249</v>
      </c>
      <c r="D151" s="328" t="s">
        <v>10</v>
      </c>
      <c r="E151" s="254">
        <f>2+3+1</f>
        <v>6</v>
      </c>
      <c r="F151" s="217">
        <v>22.14</v>
      </c>
      <c r="G151" s="329">
        <f t="shared" si="10"/>
        <v>132.84</v>
      </c>
    </row>
    <row r="152" spans="1:7" s="204" customFormat="1" ht="26.25" customHeight="1">
      <c r="A152" s="282" t="s">
        <v>984</v>
      </c>
      <c r="B152" s="118" t="s">
        <v>1277</v>
      </c>
      <c r="C152" s="119" t="s">
        <v>1276</v>
      </c>
      <c r="D152" s="328" t="s">
        <v>10</v>
      </c>
      <c r="E152" s="254">
        <f>2+3+1</f>
        <v>6</v>
      </c>
      <c r="F152" s="217">
        <f>'Comp. ORSE com insumos SINAPI'!G277</f>
        <v>28.798160000000003</v>
      </c>
      <c r="G152" s="329">
        <f t="shared" si="10"/>
        <v>172.79</v>
      </c>
    </row>
    <row r="153" spans="1:7" s="204" customFormat="1" ht="26.25" customHeight="1">
      <c r="A153" s="282" t="s">
        <v>985</v>
      </c>
      <c r="B153" s="118" t="s">
        <v>1278</v>
      </c>
      <c r="C153" s="119" t="s">
        <v>1279</v>
      </c>
      <c r="D153" s="328" t="s">
        <v>10</v>
      </c>
      <c r="E153" s="254">
        <f>1+1</f>
        <v>2</v>
      </c>
      <c r="F153" s="217">
        <f>'Comp. ORSE com insumos SINAPI'!G287</f>
        <v>21.879519999999999</v>
      </c>
      <c r="G153" s="329">
        <f t="shared" si="10"/>
        <v>43.76</v>
      </c>
    </row>
    <row r="154" spans="1:7" s="204" customFormat="1" ht="43.5" customHeight="1">
      <c r="A154" s="282" t="s">
        <v>986</v>
      </c>
      <c r="B154" s="118" t="s">
        <v>1270</v>
      </c>
      <c r="C154" s="119" t="s">
        <v>1271</v>
      </c>
      <c r="D154" s="328" t="s">
        <v>10</v>
      </c>
      <c r="E154" s="254">
        <f>1+17+9+8</f>
        <v>35</v>
      </c>
      <c r="F154" s="217">
        <v>10.91</v>
      </c>
      <c r="G154" s="329">
        <f t="shared" si="10"/>
        <v>381.85</v>
      </c>
    </row>
    <row r="155" spans="1:7" s="204" customFormat="1" ht="43.5" customHeight="1">
      <c r="A155" s="282" t="s">
        <v>987</v>
      </c>
      <c r="B155" s="118" t="s">
        <v>1274</v>
      </c>
      <c r="C155" s="119" t="s">
        <v>1275</v>
      </c>
      <c r="D155" s="328" t="s">
        <v>10</v>
      </c>
      <c r="E155" s="254">
        <f>1+1</f>
        <v>2</v>
      </c>
      <c r="F155" s="217">
        <v>8.7200000000000006</v>
      </c>
      <c r="G155" s="329">
        <f t="shared" si="10"/>
        <v>17.440000000000001</v>
      </c>
    </row>
    <row r="156" spans="1:7" s="204" customFormat="1" ht="43.5" customHeight="1">
      <c r="A156" s="282" t="s">
        <v>988</v>
      </c>
      <c r="B156" s="118" t="s">
        <v>1272</v>
      </c>
      <c r="C156" s="119" t="s">
        <v>1273</v>
      </c>
      <c r="D156" s="328" t="s">
        <v>10</v>
      </c>
      <c r="E156" s="254">
        <f>33</f>
        <v>33</v>
      </c>
      <c r="F156" s="217">
        <v>5.23</v>
      </c>
      <c r="G156" s="329">
        <f t="shared" si="10"/>
        <v>172.59</v>
      </c>
    </row>
    <row r="157" spans="1:7" s="204" customFormat="1" ht="21" customHeight="1">
      <c r="A157" s="282" t="s">
        <v>989</v>
      </c>
      <c r="B157" s="118" t="s">
        <v>398</v>
      </c>
      <c r="C157" s="132" t="s">
        <v>400</v>
      </c>
      <c r="D157" s="328" t="s">
        <v>10</v>
      </c>
      <c r="E157" s="254">
        <f>1+1</f>
        <v>2</v>
      </c>
      <c r="F157" s="217">
        <f>'Comp. ORSE com insumos SINAPI'!G297</f>
        <v>9.3240499999999997</v>
      </c>
      <c r="G157" s="329">
        <f t="shared" si="10"/>
        <v>18.649999999999999</v>
      </c>
    </row>
    <row r="158" spans="1:7" s="204" customFormat="1" ht="25.5">
      <c r="A158" s="282" t="s">
        <v>990</v>
      </c>
      <c r="B158" s="118" t="s">
        <v>935</v>
      </c>
      <c r="C158" s="119" t="s">
        <v>399</v>
      </c>
      <c r="D158" s="328" t="s">
        <v>10</v>
      </c>
      <c r="E158" s="254">
        <f>1+2+1</f>
        <v>4</v>
      </c>
      <c r="F158" s="217">
        <v>11.16</v>
      </c>
      <c r="G158" s="329">
        <f t="shared" si="10"/>
        <v>44.64</v>
      </c>
    </row>
    <row r="159" spans="1:7" s="204" customFormat="1" ht="20.25" customHeight="1">
      <c r="A159" s="282" t="s">
        <v>991</v>
      </c>
      <c r="B159" s="107" t="s">
        <v>258</v>
      </c>
      <c r="C159" s="119" t="s">
        <v>259</v>
      </c>
      <c r="D159" s="328" t="s">
        <v>10</v>
      </c>
      <c r="E159" s="254">
        <v>3</v>
      </c>
      <c r="F159" s="217">
        <v>6.14</v>
      </c>
      <c r="G159" s="329">
        <f t="shared" si="10"/>
        <v>18.420000000000002</v>
      </c>
    </row>
    <row r="160" spans="1:7" s="204" customFormat="1" ht="19.5" customHeight="1">
      <c r="A160" s="282" t="s">
        <v>992</v>
      </c>
      <c r="B160" s="38" t="s">
        <v>1280</v>
      </c>
      <c r="C160" s="241" t="s">
        <v>1281</v>
      </c>
      <c r="D160" s="206" t="s">
        <v>11</v>
      </c>
      <c r="E160" s="254">
        <f>6.4+6.29+8.44+6.45+1.99+286.73</f>
        <v>316.3</v>
      </c>
      <c r="F160" s="217">
        <v>26.06</v>
      </c>
      <c r="G160" s="329">
        <f t="shared" si="10"/>
        <v>8242.7800000000007</v>
      </c>
    </row>
    <row r="161" spans="1:7" s="204" customFormat="1" ht="19.5" customHeight="1">
      <c r="A161" s="282" t="s">
        <v>993</v>
      </c>
      <c r="B161" s="38" t="s">
        <v>1287</v>
      </c>
      <c r="C161" s="241" t="s">
        <v>1286</v>
      </c>
      <c r="D161" s="206" t="s">
        <v>11</v>
      </c>
      <c r="E161" s="254">
        <f>1.15+1.15</f>
        <v>2.2999999999999998</v>
      </c>
      <c r="F161" s="217">
        <v>22.97</v>
      </c>
      <c r="G161" s="329">
        <f t="shared" si="10"/>
        <v>52.83</v>
      </c>
    </row>
    <row r="162" spans="1:7" s="204" customFormat="1" ht="19.5" customHeight="1">
      <c r="A162" s="282" t="s">
        <v>994</v>
      </c>
      <c r="B162" s="38" t="s">
        <v>1283</v>
      </c>
      <c r="C162" s="241" t="s">
        <v>1282</v>
      </c>
      <c r="D162" s="206" t="s">
        <v>11</v>
      </c>
      <c r="E162" s="254">
        <f>6.34+6.4+16.17+3.37+11.47</f>
        <v>43.75</v>
      </c>
      <c r="F162" s="217">
        <v>14.81</v>
      </c>
      <c r="G162" s="329">
        <f t="shared" si="10"/>
        <v>647.94000000000005</v>
      </c>
    </row>
    <row r="163" spans="1:7" s="204" customFormat="1" ht="19.5" customHeight="1">
      <c r="A163" s="282" t="s">
        <v>995</v>
      </c>
      <c r="B163" s="38" t="s">
        <v>1285</v>
      </c>
      <c r="C163" s="241" t="s">
        <v>1284</v>
      </c>
      <c r="D163" s="206" t="s">
        <v>11</v>
      </c>
      <c r="E163" s="254">
        <f>30.88+8.23+4.49</f>
        <v>43.6</v>
      </c>
      <c r="F163" s="217">
        <v>10.59</v>
      </c>
      <c r="G163" s="329">
        <f t="shared" si="10"/>
        <v>461.72</v>
      </c>
    </row>
    <row r="164" spans="1:7" s="204" customFormat="1" ht="25.5">
      <c r="A164" s="282" t="s">
        <v>996</v>
      </c>
      <c r="B164" s="38" t="s">
        <v>585</v>
      </c>
      <c r="C164" s="119" t="s">
        <v>250</v>
      </c>
      <c r="D164" s="328" t="s">
        <v>10</v>
      </c>
      <c r="E164" s="254">
        <v>15</v>
      </c>
      <c r="F164" s="217">
        <v>3.85</v>
      </c>
      <c r="G164" s="329">
        <f t="shared" si="10"/>
        <v>57.75</v>
      </c>
    </row>
    <row r="165" spans="1:7" s="204" customFormat="1" ht="25.5">
      <c r="A165" s="282" t="s">
        <v>997</v>
      </c>
      <c r="B165" s="38" t="s">
        <v>1110</v>
      </c>
      <c r="C165" s="119" t="s">
        <v>1111</v>
      </c>
      <c r="D165" s="328" t="s">
        <v>10</v>
      </c>
      <c r="E165" s="254">
        <v>39</v>
      </c>
      <c r="F165" s="217">
        <v>4.96</v>
      </c>
      <c r="G165" s="329">
        <f t="shared" si="10"/>
        <v>193.44</v>
      </c>
    </row>
    <row r="166" spans="1:7" s="204" customFormat="1" ht="38.25">
      <c r="A166" s="282" t="s">
        <v>998</v>
      </c>
      <c r="B166" s="38" t="s">
        <v>586</v>
      </c>
      <c r="C166" s="119" t="s">
        <v>251</v>
      </c>
      <c r="D166" s="328" t="s">
        <v>10</v>
      </c>
      <c r="E166" s="254">
        <v>18</v>
      </c>
      <c r="F166" s="217">
        <v>8.2100000000000009</v>
      </c>
      <c r="G166" s="329">
        <f t="shared" si="10"/>
        <v>147.78</v>
      </c>
    </row>
    <row r="167" spans="1:7" s="204" customFormat="1" ht="21.75" customHeight="1">
      <c r="A167" s="282" t="s">
        <v>999</v>
      </c>
      <c r="B167" s="105" t="s">
        <v>1119</v>
      </c>
      <c r="C167" s="137" t="s">
        <v>1120</v>
      </c>
      <c r="D167" s="328" t="s">
        <v>10</v>
      </c>
      <c r="E167" s="254">
        <v>16</v>
      </c>
      <c r="F167" s="217">
        <f>'Comp. ORSE com insumos SINAPI'!G267</f>
        <v>7.9717799999999999</v>
      </c>
      <c r="G167" s="329">
        <f t="shared" si="10"/>
        <v>127.55</v>
      </c>
    </row>
    <row r="168" spans="1:7" s="204" customFormat="1" ht="23.25" customHeight="1">
      <c r="A168" s="282" t="s">
        <v>1000</v>
      </c>
      <c r="B168" s="118" t="s">
        <v>1116</v>
      </c>
      <c r="C168" s="119" t="s">
        <v>1115</v>
      </c>
      <c r="D168" s="328" t="s">
        <v>10</v>
      </c>
      <c r="E168" s="254">
        <v>1</v>
      </c>
      <c r="F168" s="217">
        <v>5.2</v>
      </c>
      <c r="G168" s="329">
        <f t="shared" si="10"/>
        <v>5.2</v>
      </c>
    </row>
    <row r="169" spans="1:7" s="204" customFormat="1" ht="25.5">
      <c r="A169" s="282" t="s">
        <v>1001</v>
      </c>
      <c r="B169" s="118" t="s">
        <v>590</v>
      </c>
      <c r="C169" s="119" t="s">
        <v>255</v>
      </c>
      <c r="D169" s="328" t="s">
        <v>10</v>
      </c>
      <c r="E169" s="254">
        <v>20</v>
      </c>
      <c r="F169" s="217">
        <v>3.68</v>
      </c>
      <c r="G169" s="329">
        <f t="shared" si="10"/>
        <v>73.599999999999994</v>
      </c>
    </row>
    <row r="170" spans="1:7" s="204" customFormat="1" ht="25.5">
      <c r="A170" s="282" t="s">
        <v>1002</v>
      </c>
      <c r="B170" s="118" t="s">
        <v>591</v>
      </c>
      <c r="C170" s="119" t="s">
        <v>256</v>
      </c>
      <c r="D170" s="328" t="s">
        <v>10</v>
      </c>
      <c r="E170" s="254">
        <v>7</v>
      </c>
      <c r="F170" s="217">
        <v>5.65</v>
      </c>
      <c r="G170" s="329">
        <f t="shared" si="10"/>
        <v>39.549999999999997</v>
      </c>
    </row>
    <row r="171" spans="1:7" s="204" customFormat="1" ht="25.5">
      <c r="A171" s="282" t="s">
        <v>1003</v>
      </c>
      <c r="B171" s="118" t="s">
        <v>592</v>
      </c>
      <c r="C171" s="119" t="s">
        <v>257</v>
      </c>
      <c r="D171" s="328" t="s">
        <v>10</v>
      </c>
      <c r="E171" s="343">
        <v>4</v>
      </c>
      <c r="F171" s="217">
        <v>9.23</v>
      </c>
      <c r="G171" s="329">
        <f t="shared" si="10"/>
        <v>36.92</v>
      </c>
    </row>
    <row r="172" spans="1:7" s="204" customFormat="1" ht="25.5">
      <c r="A172" s="282" t="s">
        <v>1004</v>
      </c>
      <c r="B172" s="118" t="s">
        <v>1113</v>
      </c>
      <c r="C172" s="119" t="s">
        <v>1114</v>
      </c>
      <c r="D172" s="328" t="s">
        <v>10</v>
      </c>
      <c r="E172" s="252">
        <v>8</v>
      </c>
      <c r="F172" s="217">
        <v>2.4900000000000002</v>
      </c>
      <c r="G172" s="329">
        <f t="shared" si="10"/>
        <v>19.920000000000002</v>
      </c>
    </row>
    <row r="173" spans="1:7" s="204" customFormat="1" ht="35.25" customHeight="1">
      <c r="A173" s="282" t="s">
        <v>1005</v>
      </c>
      <c r="B173" s="118" t="s">
        <v>1118</v>
      </c>
      <c r="C173" s="119" t="s">
        <v>1117</v>
      </c>
      <c r="D173" s="328" t="s">
        <v>10</v>
      </c>
      <c r="E173" s="254">
        <v>24</v>
      </c>
      <c r="F173" s="217">
        <v>2.35</v>
      </c>
      <c r="G173" s="329">
        <f t="shared" si="10"/>
        <v>56.4</v>
      </c>
    </row>
    <row r="174" spans="1:7" s="204" customFormat="1" ht="35.25" customHeight="1">
      <c r="A174" s="282" t="s">
        <v>1006</v>
      </c>
      <c r="B174" s="118" t="s">
        <v>588</v>
      </c>
      <c r="C174" s="119" t="s">
        <v>253</v>
      </c>
      <c r="D174" s="328" t="s">
        <v>10</v>
      </c>
      <c r="E174" s="254">
        <v>8</v>
      </c>
      <c r="F174" s="217">
        <v>60.64</v>
      </c>
      <c r="G174" s="329">
        <f t="shared" si="10"/>
        <v>485.12</v>
      </c>
    </row>
    <row r="175" spans="1:7" s="204" customFormat="1" ht="25.5">
      <c r="A175" s="282" t="s">
        <v>1007</v>
      </c>
      <c r="B175" s="118" t="s">
        <v>589</v>
      </c>
      <c r="C175" s="119" t="s">
        <v>254</v>
      </c>
      <c r="D175" s="328" t="s">
        <v>10</v>
      </c>
      <c r="E175" s="254">
        <v>8</v>
      </c>
      <c r="F175" s="217">
        <v>57.6</v>
      </c>
      <c r="G175" s="329">
        <f t="shared" si="10"/>
        <v>460.8</v>
      </c>
    </row>
    <row r="176" spans="1:7" s="204" customFormat="1" ht="25.5">
      <c r="A176" s="282" t="s">
        <v>1008</v>
      </c>
      <c r="B176" s="118" t="s">
        <v>583</v>
      </c>
      <c r="C176" s="241" t="s">
        <v>260</v>
      </c>
      <c r="D176" s="206" t="s">
        <v>11</v>
      </c>
      <c r="E176" s="254">
        <v>64.58</v>
      </c>
      <c r="F176" s="217">
        <v>3.2</v>
      </c>
      <c r="G176" s="329">
        <f t="shared" si="10"/>
        <v>206.66</v>
      </c>
    </row>
    <row r="177" spans="1:9" s="204" customFormat="1" ht="25.5">
      <c r="A177" s="282" t="s">
        <v>1009</v>
      </c>
      <c r="B177" s="118" t="s">
        <v>584</v>
      </c>
      <c r="C177" s="119" t="s">
        <v>261</v>
      </c>
      <c r="D177" s="206" t="s">
        <v>11</v>
      </c>
      <c r="E177" s="252">
        <v>102.39</v>
      </c>
      <c r="F177" s="217">
        <v>6.49</v>
      </c>
      <c r="G177" s="329">
        <f t="shared" si="10"/>
        <v>664.51</v>
      </c>
    </row>
    <row r="178" spans="1:9" s="204" customFormat="1" ht="25.5">
      <c r="A178" s="282" t="s">
        <v>1010</v>
      </c>
      <c r="B178" s="118" t="s">
        <v>1108</v>
      </c>
      <c r="C178" s="119" t="s">
        <v>1109</v>
      </c>
      <c r="D178" s="206" t="s">
        <v>11</v>
      </c>
      <c r="E178" s="252">
        <v>0.28999999999999998</v>
      </c>
      <c r="F178" s="217">
        <v>10.57</v>
      </c>
      <c r="G178" s="329">
        <f t="shared" si="10"/>
        <v>3.07</v>
      </c>
    </row>
    <row r="179" spans="1:9" s="85" customFormat="1">
      <c r="A179" s="49" t="s">
        <v>190</v>
      </c>
      <c r="B179" s="65"/>
      <c r="C179" s="214" t="s">
        <v>54</v>
      </c>
      <c r="D179" s="56"/>
      <c r="E179" s="253"/>
      <c r="F179" s="93"/>
      <c r="G179" s="92">
        <f>ROUND(SUM(G180:G240),2)</f>
        <v>188351.44</v>
      </c>
    </row>
    <row r="180" spans="1:9" s="435" customFormat="1" ht="25.5">
      <c r="A180" s="37" t="s">
        <v>135</v>
      </c>
      <c r="B180" s="431" t="s">
        <v>262</v>
      </c>
      <c r="C180" s="432" t="s">
        <v>263</v>
      </c>
      <c r="D180" s="103" t="s">
        <v>212</v>
      </c>
      <c r="E180" s="433">
        <v>1217</v>
      </c>
      <c r="F180" s="434">
        <v>2.35</v>
      </c>
      <c r="G180" s="329">
        <f>ROUND(E180*F180,2)</f>
        <v>2859.95</v>
      </c>
      <c r="H180" s="85" t="s">
        <v>245</v>
      </c>
    </row>
    <row r="181" spans="1:9" s="435" customFormat="1" ht="25.5">
      <c r="A181" s="37" t="s">
        <v>44</v>
      </c>
      <c r="B181" s="431" t="s">
        <v>264</v>
      </c>
      <c r="C181" s="432" t="s">
        <v>265</v>
      </c>
      <c r="D181" s="103" t="s">
        <v>212</v>
      </c>
      <c r="E181" s="433">
        <v>805</v>
      </c>
      <c r="F181" s="434">
        <v>3.84</v>
      </c>
      <c r="G181" s="329">
        <f t="shared" ref="G181:G239" si="11">ROUND(E181*F181,2)</f>
        <v>3091.2</v>
      </c>
      <c r="H181" s="85" t="s">
        <v>245</v>
      </c>
    </row>
    <row r="182" spans="1:9" s="435" customFormat="1" ht="25.5">
      <c r="A182" s="37" t="s">
        <v>104</v>
      </c>
      <c r="B182" s="431" t="s">
        <v>266</v>
      </c>
      <c r="C182" s="432" t="s">
        <v>267</v>
      </c>
      <c r="D182" s="103" t="s">
        <v>212</v>
      </c>
      <c r="E182" s="433">
        <v>548</v>
      </c>
      <c r="F182" s="434">
        <v>5.26</v>
      </c>
      <c r="G182" s="329">
        <f t="shared" si="11"/>
        <v>2882.48</v>
      </c>
      <c r="H182" s="85" t="s">
        <v>245</v>
      </c>
    </row>
    <row r="183" spans="1:9" s="435" customFormat="1" ht="25.5">
      <c r="A183" s="37" t="s">
        <v>342</v>
      </c>
      <c r="B183" s="86">
        <v>91871</v>
      </c>
      <c r="C183" s="104" t="s">
        <v>268</v>
      </c>
      <c r="D183" s="103" t="s">
        <v>212</v>
      </c>
      <c r="E183" s="433">
        <v>56</v>
      </c>
      <c r="F183" s="434">
        <v>6.66</v>
      </c>
      <c r="G183" s="329">
        <f t="shared" si="11"/>
        <v>372.96</v>
      </c>
      <c r="H183" s="85" t="s">
        <v>245</v>
      </c>
    </row>
    <row r="184" spans="1:9" s="435" customFormat="1" ht="25.5">
      <c r="A184" s="37" t="s">
        <v>343</v>
      </c>
      <c r="B184" s="86">
        <v>91872</v>
      </c>
      <c r="C184" s="104" t="s">
        <v>269</v>
      </c>
      <c r="D184" s="103" t="s">
        <v>212</v>
      </c>
      <c r="E184" s="433">
        <f>(19+98)*1.2</f>
        <v>140.4</v>
      </c>
      <c r="F184" s="434">
        <v>8.52</v>
      </c>
      <c r="G184" s="329">
        <f t="shared" si="11"/>
        <v>1196.21</v>
      </c>
      <c r="H184" s="85" t="s">
        <v>245</v>
      </c>
    </row>
    <row r="185" spans="1:9" s="435" customFormat="1">
      <c r="A185" s="37" t="s">
        <v>344</v>
      </c>
      <c r="B185" s="86">
        <v>93008</v>
      </c>
      <c r="C185" s="104" t="s">
        <v>1291</v>
      </c>
      <c r="D185" s="103" t="s">
        <v>212</v>
      </c>
      <c r="E185" s="433">
        <f>(35.9+25)*1.2</f>
        <v>73.08</v>
      </c>
      <c r="F185" s="434">
        <v>8.36</v>
      </c>
      <c r="G185" s="329">
        <f t="shared" si="11"/>
        <v>610.95000000000005</v>
      </c>
      <c r="H185" s="85"/>
    </row>
    <row r="186" spans="1:9" s="435" customFormat="1">
      <c r="A186" s="37" t="s">
        <v>345</v>
      </c>
      <c r="B186" s="431">
        <v>93009</v>
      </c>
      <c r="C186" s="432" t="s">
        <v>270</v>
      </c>
      <c r="D186" s="103" t="s">
        <v>212</v>
      </c>
      <c r="E186" s="433">
        <f>(25+6.25)*1.2</f>
        <v>37.5</v>
      </c>
      <c r="F186" s="434">
        <v>12.24</v>
      </c>
      <c r="G186" s="329">
        <f t="shared" si="11"/>
        <v>459</v>
      </c>
      <c r="H186" s="85" t="s">
        <v>245</v>
      </c>
    </row>
    <row r="187" spans="1:9" s="435" customFormat="1">
      <c r="A187" s="37" t="s">
        <v>346</v>
      </c>
      <c r="B187" s="431" t="s">
        <v>1292</v>
      </c>
      <c r="C187" s="432" t="s">
        <v>1293</v>
      </c>
      <c r="D187" s="103" t="s">
        <v>212</v>
      </c>
      <c r="E187" s="433">
        <f>160*2</f>
        <v>320</v>
      </c>
      <c r="F187" s="434">
        <v>31.13</v>
      </c>
      <c r="G187" s="329">
        <f>ROUND(E187*F187,2)</f>
        <v>9961.6</v>
      </c>
      <c r="H187" s="436">
        <f>20.69*E187</f>
        <v>6620.8</v>
      </c>
      <c r="I187" s="437">
        <f>G187-H187</f>
        <v>3340.8</v>
      </c>
    </row>
    <row r="188" spans="1:9" s="435" customFormat="1" ht="25.5">
      <c r="A188" s="37" t="s">
        <v>347</v>
      </c>
      <c r="B188" s="431" t="s">
        <v>1294</v>
      </c>
      <c r="C188" s="104" t="s">
        <v>1295</v>
      </c>
      <c r="D188" s="103" t="s">
        <v>213</v>
      </c>
      <c r="E188" s="433">
        <v>83</v>
      </c>
      <c r="F188" s="434">
        <v>192.77</v>
      </c>
      <c r="G188" s="329">
        <f t="shared" si="11"/>
        <v>15999.91</v>
      </c>
      <c r="H188" s="85" t="s">
        <v>245</v>
      </c>
    </row>
    <row r="189" spans="1:9" s="435" customFormat="1" ht="25.5">
      <c r="A189" s="37" t="s">
        <v>348</v>
      </c>
      <c r="B189" s="86" t="s">
        <v>271</v>
      </c>
      <c r="C189" s="104" t="s">
        <v>272</v>
      </c>
      <c r="D189" s="103" t="s">
        <v>205</v>
      </c>
      <c r="E189" s="433">
        <v>4</v>
      </c>
      <c r="F189" s="434">
        <v>151.66</v>
      </c>
      <c r="G189" s="329">
        <f t="shared" si="11"/>
        <v>606.64</v>
      </c>
      <c r="H189" s="85" t="s">
        <v>245</v>
      </c>
    </row>
    <row r="190" spans="1:9" s="435" customFormat="1" ht="25.5">
      <c r="A190" s="37" t="s">
        <v>349</v>
      </c>
      <c r="B190" s="86">
        <v>91979</v>
      </c>
      <c r="C190" s="104" t="s">
        <v>1296</v>
      </c>
      <c r="D190" s="103" t="s">
        <v>213</v>
      </c>
      <c r="E190" s="433">
        <v>1</v>
      </c>
      <c r="F190" s="434">
        <v>26.16</v>
      </c>
      <c r="G190" s="329">
        <f t="shared" si="11"/>
        <v>26.16</v>
      </c>
      <c r="H190" s="85"/>
    </row>
    <row r="191" spans="1:9" s="435" customFormat="1" ht="25.5">
      <c r="A191" s="37" t="s">
        <v>350</v>
      </c>
      <c r="B191" s="86" t="s">
        <v>273</v>
      </c>
      <c r="C191" s="104" t="s">
        <v>274</v>
      </c>
      <c r="D191" s="103" t="s">
        <v>205</v>
      </c>
      <c r="E191" s="433">
        <v>85</v>
      </c>
      <c r="F191" s="434">
        <v>78.290000000000006</v>
      </c>
      <c r="G191" s="329">
        <f t="shared" si="11"/>
        <v>6654.65</v>
      </c>
      <c r="H191" s="85">
        <v>17546.55</v>
      </c>
    </row>
    <row r="192" spans="1:9" s="435" customFormat="1" ht="25.5">
      <c r="A192" s="37" t="s">
        <v>351</v>
      </c>
      <c r="B192" s="86" t="s">
        <v>275</v>
      </c>
      <c r="C192" s="104" t="s">
        <v>276</v>
      </c>
      <c r="D192" s="103" t="s">
        <v>205</v>
      </c>
      <c r="E192" s="433">
        <v>5</v>
      </c>
      <c r="F192" s="434">
        <v>80.67</v>
      </c>
      <c r="G192" s="329">
        <f t="shared" si="11"/>
        <v>403.35</v>
      </c>
      <c r="H192" s="85" t="s">
        <v>245</v>
      </c>
    </row>
    <row r="193" spans="1:10" s="435" customFormat="1" ht="25.5">
      <c r="A193" s="37" t="s">
        <v>352</v>
      </c>
      <c r="B193" s="86" t="s">
        <v>277</v>
      </c>
      <c r="C193" s="104" t="s">
        <v>278</v>
      </c>
      <c r="D193" s="103" t="s">
        <v>205</v>
      </c>
      <c r="E193" s="433">
        <v>6</v>
      </c>
      <c r="F193" s="434">
        <v>93.57</v>
      </c>
      <c r="G193" s="329">
        <f t="shared" si="11"/>
        <v>561.41999999999996</v>
      </c>
      <c r="H193" s="85" t="s">
        <v>245</v>
      </c>
    </row>
    <row r="194" spans="1:10" s="435" customFormat="1" ht="25.5">
      <c r="A194" s="37" t="s">
        <v>353</v>
      </c>
      <c r="B194" s="86" t="s">
        <v>279</v>
      </c>
      <c r="C194" s="104" t="s">
        <v>280</v>
      </c>
      <c r="D194" s="103" t="s">
        <v>205</v>
      </c>
      <c r="E194" s="433">
        <v>79</v>
      </c>
      <c r="F194" s="434">
        <v>114.07</v>
      </c>
      <c r="G194" s="329">
        <f t="shared" si="11"/>
        <v>9011.5300000000007</v>
      </c>
      <c r="H194" s="85" t="s">
        <v>245</v>
      </c>
    </row>
    <row r="195" spans="1:10" s="435" customFormat="1" ht="25.5">
      <c r="A195" s="37" t="s">
        <v>354</v>
      </c>
      <c r="B195" s="86" t="s">
        <v>281</v>
      </c>
      <c r="C195" s="104" t="s">
        <v>282</v>
      </c>
      <c r="D195" s="103" t="s">
        <v>205</v>
      </c>
      <c r="E195" s="433">
        <v>2</v>
      </c>
      <c r="F195" s="434">
        <v>185.6</v>
      </c>
      <c r="G195" s="329">
        <f t="shared" si="11"/>
        <v>371.2</v>
      </c>
      <c r="H195" s="85" t="s">
        <v>245</v>
      </c>
    </row>
    <row r="196" spans="1:10" s="435" customFormat="1" ht="38.25">
      <c r="A196" s="37" t="s">
        <v>1011</v>
      </c>
      <c r="B196" s="438" t="s">
        <v>283</v>
      </c>
      <c r="C196" s="432" t="s">
        <v>284</v>
      </c>
      <c r="D196" s="103" t="s">
        <v>213</v>
      </c>
      <c r="E196" s="433">
        <v>1</v>
      </c>
      <c r="F196" s="434">
        <v>2464.9499999999998</v>
      </c>
      <c r="G196" s="329">
        <f t="shared" si="11"/>
        <v>2464.9499999999998</v>
      </c>
      <c r="H196" s="85" t="s">
        <v>245</v>
      </c>
    </row>
    <row r="197" spans="1:10" s="435" customFormat="1" ht="38.25">
      <c r="A197" s="37" t="s">
        <v>355</v>
      </c>
      <c r="B197" s="86" t="s">
        <v>1297</v>
      </c>
      <c r="C197" s="104" t="s">
        <v>1298</v>
      </c>
      <c r="D197" s="103" t="s">
        <v>213</v>
      </c>
      <c r="E197" s="433">
        <v>2</v>
      </c>
      <c r="F197" s="434">
        <v>383.02</v>
      </c>
      <c r="G197" s="329">
        <f t="shared" si="11"/>
        <v>766.04</v>
      </c>
      <c r="H197" s="85" t="s">
        <v>245</v>
      </c>
    </row>
    <row r="198" spans="1:10" s="435" customFormat="1" ht="38.25">
      <c r="A198" s="37" t="s">
        <v>1012</v>
      </c>
      <c r="B198" s="86">
        <v>83463</v>
      </c>
      <c r="C198" s="104" t="s">
        <v>1299</v>
      </c>
      <c r="D198" s="103" t="s">
        <v>213</v>
      </c>
      <c r="E198" s="433">
        <v>6</v>
      </c>
      <c r="F198" s="434">
        <v>279.73</v>
      </c>
      <c r="G198" s="329">
        <f t="shared" si="11"/>
        <v>1678.38</v>
      </c>
      <c r="H198" s="85"/>
    </row>
    <row r="199" spans="1:10" s="435" customFormat="1" ht="25.5">
      <c r="A199" s="37" t="s">
        <v>356</v>
      </c>
      <c r="B199" s="86">
        <v>91931</v>
      </c>
      <c r="C199" s="104" t="s">
        <v>285</v>
      </c>
      <c r="D199" s="103" t="s">
        <v>212</v>
      </c>
      <c r="E199" s="433">
        <v>846</v>
      </c>
      <c r="F199" s="434">
        <v>5.9</v>
      </c>
      <c r="G199" s="329">
        <f t="shared" si="11"/>
        <v>4991.3999999999996</v>
      </c>
      <c r="H199" s="85">
        <f>550*F199</f>
        <v>3245</v>
      </c>
      <c r="I199" s="435">
        <f>296*4.37</f>
        <v>1293.52</v>
      </c>
      <c r="J199" s="435">
        <f>SUM(H199:I199)</f>
        <v>4538.5200000000004</v>
      </c>
    </row>
    <row r="200" spans="1:10" s="435" customFormat="1" ht="25.5" customHeight="1">
      <c r="A200" s="37" t="s">
        <v>357</v>
      </c>
      <c r="B200" s="86">
        <v>92980</v>
      </c>
      <c r="C200" s="104" t="s">
        <v>1300</v>
      </c>
      <c r="D200" s="103" t="s">
        <v>212</v>
      </c>
      <c r="E200" s="433">
        <v>18</v>
      </c>
      <c r="F200" s="434">
        <v>6.49</v>
      </c>
      <c r="G200" s="329">
        <f t="shared" si="11"/>
        <v>116.82</v>
      </c>
      <c r="H200" s="85"/>
    </row>
    <row r="201" spans="1:10" s="435" customFormat="1" ht="25.5">
      <c r="A201" s="37" t="s">
        <v>358</v>
      </c>
      <c r="B201" s="86">
        <v>92982</v>
      </c>
      <c r="C201" s="104" t="s">
        <v>286</v>
      </c>
      <c r="D201" s="103" t="s">
        <v>212</v>
      </c>
      <c r="E201" s="433">
        <v>3.6</v>
      </c>
      <c r="F201" s="434">
        <v>9.93</v>
      </c>
      <c r="G201" s="329">
        <f t="shared" si="11"/>
        <v>35.75</v>
      </c>
      <c r="H201" s="85" t="s">
        <v>245</v>
      </c>
    </row>
    <row r="202" spans="1:10" s="435" customFormat="1" ht="25.5">
      <c r="A202" s="37" t="s">
        <v>359</v>
      </c>
      <c r="B202" s="86">
        <v>92984</v>
      </c>
      <c r="C202" s="439" t="s">
        <v>287</v>
      </c>
      <c r="D202" s="103" t="s">
        <v>212</v>
      </c>
      <c r="E202" s="433">
        <v>14.4</v>
      </c>
      <c r="F202" s="434">
        <v>16.11</v>
      </c>
      <c r="G202" s="329">
        <f t="shared" si="11"/>
        <v>231.98</v>
      </c>
      <c r="H202" s="85" t="s">
        <v>245</v>
      </c>
    </row>
    <row r="203" spans="1:10" s="435" customFormat="1" ht="25.5" customHeight="1">
      <c r="A203" s="37" t="s">
        <v>360</v>
      </c>
      <c r="B203" s="86">
        <v>92994</v>
      </c>
      <c r="C203" s="104" t="s">
        <v>1301</v>
      </c>
      <c r="D203" s="103" t="s">
        <v>212</v>
      </c>
      <c r="E203" s="433">
        <f>160*9</f>
        <v>1440</v>
      </c>
      <c r="F203" s="434">
        <v>71.88</v>
      </c>
      <c r="G203" s="329">
        <f t="shared" si="11"/>
        <v>103507.2</v>
      </c>
      <c r="H203" s="436">
        <f>55.52*E203</f>
        <v>79948.800000000003</v>
      </c>
      <c r="I203" s="437">
        <f>G203-H203</f>
        <v>23558.399999999994</v>
      </c>
    </row>
    <row r="204" spans="1:10" s="435" customFormat="1">
      <c r="A204" s="37" t="s">
        <v>361</v>
      </c>
      <c r="B204" s="86" t="s">
        <v>288</v>
      </c>
      <c r="C204" s="104" t="s">
        <v>289</v>
      </c>
      <c r="D204" s="103" t="s">
        <v>213</v>
      </c>
      <c r="E204" s="433">
        <v>97</v>
      </c>
      <c r="F204" s="434">
        <v>15.07</v>
      </c>
      <c r="G204" s="329">
        <f t="shared" si="11"/>
        <v>1461.79</v>
      </c>
      <c r="H204" s="85" t="s">
        <v>245</v>
      </c>
    </row>
    <row r="205" spans="1:10" s="435" customFormat="1">
      <c r="A205" s="37" t="s">
        <v>1013</v>
      </c>
      <c r="B205" s="86" t="s">
        <v>1302</v>
      </c>
      <c r="C205" s="104" t="s">
        <v>1303</v>
      </c>
      <c r="D205" s="103" t="s">
        <v>213</v>
      </c>
      <c r="E205" s="433">
        <v>15</v>
      </c>
      <c r="F205" s="434">
        <v>57.98</v>
      </c>
      <c r="G205" s="329">
        <f t="shared" si="11"/>
        <v>869.7</v>
      </c>
      <c r="H205" s="85"/>
    </row>
    <row r="206" spans="1:10" s="435" customFormat="1">
      <c r="A206" s="37" t="s">
        <v>362</v>
      </c>
      <c r="B206" s="86" t="s">
        <v>293</v>
      </c>
      <c r="C206" s="104" t="s">
        <v>294</v>
      </c>
      <c r="D206" s="103" t="s">
        <v>213</v>
      </c>
      <c r="E206" s="433">
        <v>5</v>
      </c>
      <c r="F206" s="434">
        <v>55</v>
      </c>
      <c r="G206" s="329">
        <f>ROUND(E206*F206,2)</f>
        <v>275</v>
      </c>
      <c r="H206" s="85" t="s">
        <v>245</v>
      </c>
    </row>
    <row r="207" spans="1:10" s="290" customFormat="1">
      <c r="A207" s="37" t="s">
        <v>363</v>
      </c>
      <c r="B207" s="86" t="s">
        <v>1304</v>
      </c>
      <c r="C207" s="104" t="s">
        <v>1305</v>
      </c>
      <c r="D207" s="103" t="s">
        <v>213</v>
      </c>
      <c r="E207" s="433">
        <v>7</v>
      </c>
      <c r="F207" s="434">
        <v>664.88</v>
      </c>
      <c r="G207" s="329">
        <f>ROUND(E207*F207,2)</f>
        <v>4654.16</v>
      </c>
      <c r="H207" s="209"/>
    </row>
    <row r="208" spans="1:10" s="435" customFormat="1">
      <c r="A208" s="37" t="s">
        <v>364</v>
      </c>
      <c r="B208" s="86" t="s">
        <v>290</v>
      </c>
      <c r="C208" s="104" t="s">
        <v>291</v>
      </c>
      <c r="D208" s="103" t="s">
        <v>213</v>
      </c>
      <c r="E208" s="433">
        <v>6</v>
      </c>
      <c r="F208" s="434">
        <v>157.79</v>
      </c>
      <c r="G208" s="329">
        <f t="shared" si="11"/>
        <v>946.74</v>
      </c>
      <c r="H208" s="85" t="s">
        <v>245</v>
      </c>
    </row>
    <row r="209" spans="1:8" s="435" customFormat="1">
      <c r="A209" s="37" t="s">
        <v>365</v>
      </c>
      <c r="B209" s="86" t="s">
        <v>436</v>
      </c>
      <c r="C209" s="104" t="s">
        <v>1306</v>
      </c>
      <c r="D209" s="103" t="s">
        <v>213</v>
      </c>
      <c r="E209" s="433">
        <v>1</v>
      </c>
      <c r="F209" s="434">
        <v>168.78</v>
      </c>
      <c r="G209" s="329">
        <f t="shared" si="11"/>
        <v>168.78</v>
      </c>
      <c r="H209" s="85"/>
    </row>
    <row r="210" spans="1:8" s="435" customFormat="1" ht="25.5">
      <c r="A210" s="37" t="s">
        <v>366</v>
      </c>
      <c r="B210" s="86" t="s">
        <v>292</v>
      </c>
      <c r="C210" s="104" t="s">
        <v>1307</v>
      </c>
      <c r="D210" s="103" t="s">
        <v>213</v>
      </c>
      <c r="E210" s="433">
        <v>2</v>
      </c>
      <c r="F210" s="434">
        <v>116.38</v>
      </c>
      <c r="G210" s="329">
        <f t="shared" si="11"/>
        <v>232.76</v>
      </c>
      <c r="H210" s="85" t="s">
        <v>245</v>
      </c>
    </row>
    <row r="211" spans="1:8" s="435" customFormat="1" ht="25.5">
      <c r="A211" s="37" t="s">
        <v>367</v>
      </c>
      <c r="B211" s="86" t="s">
        <v>295</v>
      </c>
      <c r="C211" s="104" t="s">
        <v>296</v>
      </c>
      <c r="D211" s="103" t="s">
        <v>213</v>
      </c>
      <c r="E211" s="433">
        <v>30</v>
      </c>
      <c r="F211" s="434">
        <v>10.16</v>
      </c>
      <c r="G211" s="329">
        <f t="shared" si="11"/>
        <v>304.8</v>
      </c>
      <c r="H211" s="85" t="s">
        <v>245</v>
      </c>
    </row>
    <row r="212" spans="1:8" s="435" customFormat="1" ht="25.5">
      <c r="A212" s="37" t="s">
        <v>368</v>
      </c>
      <c r="B212" s="86" t="s">
        <v>297</v>
      </c>
      <c r="C212" s="104" t="s">
        <v>298</v>
      </c>
      <c r="D212" s="103" t="s">
        <v>213</v>
      </c>
      <c r="E212" s="433">
        <v>2</v>
      </c>
      <c r="F212" s="434">
        <v>10.79</v>
      </c>
      <c r="G212" s="329">
        <f t="shared" si="11"/>
        <v>21.58</v>
      </c>
      <c r="H212" s="85" t="s">
        <v>245</v>
      </c>
    </row>
    <row r="213" spans="1:8" s="435" customFormat="1" ht="25.5">
      <c r="A213" s="37" t="s">
        <v>369</v>
      </c>
      <c r="B213" s="86" t="s">
        <v>299</v>
      </c>
      <c r="C213" s="104" t="s">
        <v>300</v>
      </c>
      <c r="D213" s="103" t="s">
        <v>213</v>
      </c>
      <c r="E213" s="433">
        <v>13</v>
      </c>
      <c r="F213" s="434">
        <v>10.79</v>
      </c>
      <c r="G213" s="329">
        <f t="shared" si="11"/>
        <v>140.27000000000001</v>
      </c>
      <c r="H213" s="85" t="s">
        <v>245</v>
      </c>
    </row>
    <row r="214" spans="1:8" s="435" customFormat="1" ht="25.5">
      <c r="A214" s="37" t="s">
        <v>370</v>
      </c>
      <c r="B214" s="86" t="s">
        <v>301</v>
      </c>
      <c r="C214" s="104" t="s">
        <v>302</v>
      </c>
      <c r="D214" s="103" t="s">
        <v>213</v>
      </c>
      <c r="E214" s="433">
        <v>6</v>
      </c>
      <c r="F214" s="434">
        <v>68.569999999999993</v>
      </c>
      <c r="G214" s="329">
        <f t="shared" si="11"/>
        <v>411.42</v>
      </c>
      <c r="H214" s="85" t="s">
        <v>245</v>
      </c>
    </row>
    <row r="215" spans="1:8" s="435" customFormat="1" ht="25.5">
      <c r="A215" s="37" t="s">
        <v>371</v>
      </c>
      <c r="B215" s="86" t="s">
        <v>303</v>
      </c>
      <c r="C215" s="104" t="s">
        <v>304</v>
      </c>
      <c r="D215" s="103" t="s">
        <v>213</v>
      </c>
      <c r="E215" s="433">
        <v>6</v>
      </c>
      <c r="F215" s="434">
        <v>72.27</v>
      </c>
      <c r="G215" s="329">
        <f t="shared" si="11"/>
        <v>433.62</v>
      </c>
      <c r="H215" s="85" t="s">
        <v>245</v>
      </c>
    </row>
    <row r="216" spans="1:8" s="435" customFormat="1" ht="25.5">
      <c r="A216" s="37" t="s">
        <v>372</v>
      </c>
      <c r="B216" s="86">
        <v>93673</v>
      </c>
      <c r="C216" s="104" t="s">
        <v>1308</v>
      </c>
      <c r="D216" s="103" t="s">
        <v>213</v>
      </c>
      <c r="E216" s="433">
        <v>1</v>
      </c>
      <c r="F216" s="434">
        <v>77.02</v>
      </c>
      <c r="G216" s="329">
        <f t="shared" si="11"/>
        <v>77.02</v>
      </c>
      <c r="H216" s="85"/>
    </row>
    <row r="217" spans="1:8" s="435" customFormat="1">
      <c r="A217" s="37" t="s">
        <v>373</v>
      </c>
      <c r="B217" s="86" t="s">
        <v>1309</v>
      </c>
      <c r="C217" s="104" t="s">
        <v>1310</v>
      </c>
      <c r="D217" s="103" t="s">
        <v>213</v>
      </c>
      <c r="E217" s="433">
        <v>1</v>
      </c>
      <c r="F217" s="434">
        <v>94.92</v>
      </c>
      <c r="G217" s="329">
        <f t="shared" si="11"/>
        <v>94.92</v>
      </c>
      <c r="H217" s="85"/>
    </row>
    <row r="218" spans="1:8" s="435" customFormat="1">
      <c r="A218" s="37" t="s">
        <v>374</v>
      </c>
      <c r="B218" s="86" t="s">
        <v>305</v>
      </c>
      <c r="C218" s="104" t="s">
        <v>306</v>
      </c>
      <c r="D218" s="103" t="s">
        <v>213</v>
      </c>
      <c r="E218" s="433">
        <v>1</v>
      </c>
      <c r="F218" s="434">
        <v>94.92</v>
      </c>
      <c r="G218" s="329">
        <f t="shared" si="11"/>
        <v>94.92</v>
      </c>
      <c r="H218" s="85" t="s">
        <v>245</v>
      </c>
    </row>
    <row r="219" spans="1:8" s="435" customFormat="1">
      <c r="A219" s="37" t="s">
        <v>375</v>
      </c>
      <c r="B219" s="86" t="s">
        <v>1311</v>
      </c>
      <c r="C219" s="104" t="s">
        <v>1312</v>
      </c>
      <c r="D219" s="103" t="s">
        <v>213</v>
      </c>
      <c r="E219" s="433">
        <v>1</v>
      </c>
      <c r="F219" s="434">
        <v>341.19</v>
      </c>
      <c r="G219" s="329">
        <f t="shared" si="11"/>
        <v>341.19</v>
      </c>
      <c r="H219" s="85" t="s">
        <v>245</v>
      </c>
    </row>
    <row r="220" spans="1:8" s="435" customFormat="1">
      <c r="A220" s="37" t="s">
        <v>376</v>
      </c>
      <c r="B220" s="86" t="s">
        <v>1313</v>
      </c>
      <c r="C220" s="104" t="s">
        <v>1314</v>
      </c>
      <c r="D220" s="103" t="s">
        <v>213</v>
      </c>
      <c r="E220" s="433">
        <v>1</v>
      </c>
      <c r="F220" s="434">
        <v>566.98</v>
      </c>
      <c r="G220" s="329">
        <f t="shared" si="11"/>
        <v>566.98</v>
      </c>
      <c r="H220" s="85"/>
    </row>
    <row r="221" spans="1:8" s="435" customFormat="1">
      <c r="A221" s="37" t="s">
        <v>377</v>
      </c>
      <c r="B221" s="86" t="s">
        <v>1315</v>
      </c>
      <c r="C221" s="104" t="s">
        <v>1316</v>
      </c>
      <c r="D221" s="103" t="s">
        <v>213</v>
      </c>
      <c r="E221" s="433">
        <v>1</v>
      </c>
      <c r="F221" s="434">
        <v>985.68</v>
      </c>
      <c r="G221" s="329">
        <f t="shared" si="11"/>
        <v>985.68</v>
      </c>
      <c r="H221" s="85"/>
    </row>
    <row r="222" spans="1:8" s="435" customFormat="1" ht="25.5">
      <c r="A222" s="37" t="s">
        <v>378</v>
      </c>
      <c r="B222" s="86">
        <v>91884</v>
      </c>
      <c r="C222" s="439" t="s">
        <v>307</v>
      </c>
      <c r="D222" s="103" t="s">
        <v>213</v>
      </c>
      <c r="E222" s="433">
        <f>47+36</f>
        <v>83</v>
      </c>
      <c r="F222" s="440">
        <v>5.24</v>
      </c>
      <c r="G222" s="329">
        <f t="shared" si="11"/>
        <v>434.92</v>
      </c>
      <c r="H222" s="85" t="s">
        <v>245</v>
      </c>
    </row>
    <row r="223" spans="1:8" s="435" customFormat="1" ht="25.5">
      <c r="A223" s="37" t="s">
        <v>379</v>
      </c>
      <c r="B223" s="86">
        <v>91885</v>
      </c>
      <c r="C223" s="439" t="s">
        <v>308</v>
      </c>
      <c r="D223" s="103" t="s">
        <v>213</v>
      </c>
      <c r="E223" s="433">
        <v>28</v>
      </c>
      <c r="F223" s="440">
        <v>6.28</v>
      </c>
      <c r="G223" s="329">
        <f t="shared" si="11"/>
        <v>175.84</v>
      </c>
      <c r="H223" s="85" t="s">
        <v>245</v>
      </c>
    </row>
    <row r="224" spans="1:8" s="435" customFormat="1" ht="25.5">
      <c r="A224" s="37" t="s">
        <v>380</v>
      </c>
      <c r="B224" s="86">
        <v>93013</v>
      </c>
      <c r="C224" s="439" t="s">
        <v>1317</v>
      </c>
      <c r="D224" s="103" t="s">
        <v>213</v>
      </c>
      <c r="E224" s="433">
        <v>18</v>
      </c>
      <c r="F224" s="440">
        <v>9.07</v>
      </c>
      <c r="G224" s="329">
        <f t="shared" si="11"/>
        <v>163.26</v>
      </c>
      <c r="H224" s="85"/>
    </row>
    <row r="225" spans="1:9" s="435" customFormat="1" ht="15.75" customHeight="1">
      <c r="A225" s="37" t="s">
        <v>381</v>
      </c>
      <c r="B225" s="86">
        <v>93014</v>
      </c>
      <c r="C225" s="439" t="s">
        <v>309</v>
      </c>
      <c r="D225" s="103" t="s">
        <v>213</v>
      </c>
      <c r="E225" s="433">
        <v>5</v>
      </c>
      <c r="F225" s="434">
        <v>11.38</v>
      </c>
      <c r="G225" s="329">
        <f t="shared" si="11"/>
        <v>56.9</v>
      </c>
      <c r="H225" s="85" t="s">
        <v>245</v>
      </c>
    </row>
    <row r="226" spans="1:9" s="435" customFormat="1" ht="15" customHeight="1">
      <c r="A226" s="37" t="s">
        <v>382</v>
      </c>
      <c r="B226" s="86">
        <v>93017</v>
      </c>
      <c r="C226" s="439" t="s">
        <v>1318</v>
      </c>
      <c r="D226" s="103" t="s">
        <v>213</v>
      </c>
      <c r="E226" s="433">
        <f>ROUND(((160/3)-7+2)*2,0)</f>
        <v>97</v>
      </c>
      <c r="F226" s="434">
        <v>35.28</v>
      </c>
      <c r="G226" s="329">
        <f>ROUND(E226*F226,2)</f>
        <v>3422.16</v>
      </c>
      <c r="H226" s="441">
        <f>E226*22.71</f>
        <v>2202.87</v>
      </c>
      <c r="I226" s="442">
        <f>G226-H226</f>
        <v>1219.29</v>
      </c>
    </row>
    <row r="227" spans="1:9" s="435" customFormat="1">
      <c r="A227" s="37" t="s">
        <v>383</v>
      </c>
      <c r="B227" s="86" t="s">
        <v>310</v>
      </c>
      <c r="C227" s="104" t="s">
        <v>311</v>
      </c>
      <c r="D227" s="103" t="s">
        <v>213</v>
      </c>
      <c r="E227" s="433">
        <v>200</v>
      </c>
      <c r="F227" s="434">
        <v>1.31</v>
      </c>
      <c r="G227" s="329">
        <f t="shared" si="11"/>
        <v>262</v>
      </c>
      <c r="H227" s="85" t="s">
        <v>245</v>
      </c>
    </row>
    <row r="228" spans="1:9" s="435" customFormat="1">
      <c r="A228" s="37" t="s">
        <v>384</v>
      </c>
      <c r="B228" s="86" t="s">
        <v>312</v>
      </c>
      <c r="C228" s="104" t="s">
        <v>313</v>
      </c>
      <c r="D228" s="103" t="s">
        <v>213</v>
      </c>
      <c r="E228" s="433">
        <v>200</v>
      </c>
      <c r="F228" s="434">
        <v>1.48</v>
      </c>
      <c r="G228" s="329">
        <f t="shared" si="11"/>
        <v>296</v>
      </c>
      <c r="H228" s="85" t="s">
        <v>245</v>
      </c>
    </row>
    <row r="229" spans="1:9" s="435" customFormat="1">
      <c r="A229" s="37" t="s">
        <v>385</v>
      </c>
      <c r="B229" s="86" t="s">
        <v>314</v>
      </c>
      <c r="C229" s="104" t="s">
        <v>315</v>
      </c>
      <c r="D229" s="103" t="s">
        <v>213</v>
      </c>
      <c r="E229" s="433">
        <v>100</v>
      </c>
      <c r="F229" s="434">
        <v>1.63</v>
      </c>
      <c r="G229" s="329">
        <f t="shared" si="11"/>
        <v>163</v>
      </c>
      <c r="H229" s="85" t="s">
        <v>245</v>
      </c>
    </row>
    <row r="230" spans="1:9" s="443" customFormat="1">
      <c r="A230" s="37" t="s">
        <v>386</v>
      </c>
      <c r="B230" s="86">
        <v>72259</v>
      </c>
      <c r="C230" s="104" t="s">
        <v>1319</v>
      </c>
      <c r="D230" s="103"/>
      <c r="E230" s="433">
        <v>30</v>
      </c>
      <c r="F230" s="434">
        <v>10.6</v>
      </c>
      <c r="G230" s="329">
        <f t="shared" si="11"/>
        <v>318</v>
      </c>
      <c r="H230" s="25"/>
    </row>
    <row r="231" spans="1:9" s="435" customFormat="1">
      <c r="A231" s="37" t="s">
        <v>509</v>
      </c>
      <c r="B231" s="86">
        <v>72260</v>
      </c>
      <c r="C231" s="104" t="s">
        <v>316</v>
      </c>
      <c r="D231" s="103" t="s">
        <v>213</v>
      </c>
      <c r="E231" s="433">
        <v>5</v>
      </c>
      <c r="F231" s="434">
        <v>10.56</v>
      </c>
      <c r="G231" s="329">
        <f t="shared" si="11"/>
        <v>52.8</v>
      </c>
      <c r="H231" s="85" t="s">
        <v>245</v>
      </c>
    </row>
    <row r="232" spans="1:9" s="435" customFormat="1">
      <c r="A232" s="37" t="s">
        <v>510</v>
      </c>
      <c r="B232" s="86">
        <v>72261</v>
      </c>
      <c r="C232" s="439" t="s">
        <v>317</v>
      </c>
      <c r="D232" s="103" t="s">
        <v>213</v>
      </c>
      <c r="E232" s="433">
        <v>15</v>
      </c>
      <c r="F232" s="434">
        <v>11.26</v>
      </c>
      <c r="G232" s="329">
        <f t="shared" si="11"/>
        <v>168.9</v>
      </c>
      <c r="H232" s="85" t="s">
        <v>245</v>
      </c>
    </row>
    <row r="233" spans="1:9" s="435" customFormat="1">
      <c r="A233" s="37" t="s">
        <v>1014</v>
      </c>
      <c r="B233" s="444" t="s">
        <v>1320</v>
      </c>
      <c r="C233" s="439" t="s">
        <v>1321</v>
      </c>
      <c r="D233" s="103" t="s">
        <v>213</v>
      </c>
      <c r="E233" s="433">
        <v>18</v>
      </c>
      <c r="F233" s="434">
        <v>25.8</v>
      </c>
      <c r="G233" s="329">
        <f t="shared" si="11"/>
        <v>464.4</v>
      </c>
      <c r="H233" s="85" t="s">
        <v>245</v>
      </c>
    </row>
    <row r="234" spans="1:9" s="435" customFormat="1" ht="25.5">
      <c r="A234" s="37" t="s">
        <v>1015</v>
      </c>
      <c r="B234" s="86" t="s">
        <v>416</v>
      </c>
      <c r="C234" s="104" t="s">
        <v>417</v>
      </c>
      <c r="D234" s="103" t="s">
        <v>10</v>
      </c>
      <c r="E234" s="433">
        <v>6</v>
      </c>
      <c r="F234" s="434">
        <v>8.74</v>
      </c>
      <c r="G234" s="329">
        <f t="shared" si="11"/>
        <v>52.44</v>
      </c>
      <c r="H234" s="85"/>
    </row>
    <row r="235" spans="1:9" s="435" customFormat="1" ht="25.5">
      <c r="A235" s="37" t="s">
        <v>1016</v>
      </c>
      <c r="B235" s="86" t="s">
        <v>418</v>
      </c>
      <c r="C235" s="104" t="s">
        <v>419</v>
      </c>
      <c r="D235" s="103" t="s">
        <v>10</v>
      </c>
      <c r="E235" s="433">
        <v>14</v>
      </c>
      <c r="F235" s="434">
        <v>10.9</v>
      </c>
      <c r="G235" s="329">
        <f t="shared" si="11"/>
        <v>152.6</v>
      </c>
      <c r="H235" s="85"/>
    </row>
    <row r="236" spans="1:9" s="435" customFormat="1" ht="25.5">
      <c r="A236" s="37" t="s">
        <v>1017</v>
      </c>
      <c r="B236" s="86">
        <v>93018</v>
      </c>
      <c r="C236" s="104" t="s">
        <v>1322</v>
      </c>
      <c r="D236" s="103" t="s">
        <v>10</v>
      </c>
      <c r="E236" s="445">
        <v>8</v>
      </c>
      <c r="F236" s="434">
        <v>13.93</v>
      </c>
      <c r="G236" s="329">
        <f t="shared" si="11"/>
        <v>111.44</v>
      </c>
      <c r="H236" s="85"/>
    </row>
    <row r="237" spans="1:9" s="435" customFormat="1" ht="25.5">
      <c r="A237" s="37" t="s">
        <v>1018</v>
      </c>
      <c r="B237" s="444" t="s">
        <v>420</v>
      </c>
      <c r="C237" s="104" t="s">
        <v>421</v>
      </c>
      <c r="D237" s="103" t="s">
        <v>10</v>
      </c>
      <c r="E237" s="445">
        <v>4</v>
      </c>
      <c r="F237" s="434">
        <v>18.440000000000001</v>
      </c>
      <c r="G237" s="329">
        <f t="shared" si="11"/>
        <v>73.760000000000005</v>
      </c>
      <c r="H237" s="85"/>
    </row>
    <row r="238" spans="1:9" s="435" customFormat="1" ht="25.5">
      <c r="A238" s="37" t="s">
        <v>1019</v>
      </c>
      <c r="B238" s="444" t="s">
        <v>1323</v>
      </c>
      <c r="C238" s="104" t="s">
        <v>1324</v>
      </c>
      <c r="D238" s="103" t="s">
        <v>10</v>
      </c>
      <c r="E238" s="445">
        <v>2</v>
      </c>
      <c r="F238" s="434">
        <v>59.18</v>
      </c>
      <c r="G238" s="329">
        <f>ROUND(E238*F238,2)</f>
        <v>118.36</v>
      </c>
      <c r="H238" s="85"/>
    </row>
    <row r="239" spans="1:9" s="435" customFormat="1" ht="25.5">
      <c r="A239" s="37" t="s">
        <v>1328</v>
      </c>
      <c r="B239" s="444" t="s">
        <v>1325</v>
      </c>
      <c r="C239" s="104" t="s">
        <v>1326</v>
      </c>
      <c r="D239" s="446" t="s">
        <v>61</v>
      </c>
      <c r="E239" s="445">
        <f>160*0.5*0.5</f>
        <v>40</v>
      </c>
      <c r="F239" s="434">
        <v>8.9499999999999993</v>
      </c>
      <c r="G239" s="329">
        <f t="shared" si="11"/>
        <v>358</v>
      </c>
      <c r="H239" s="85"/>
    </row>
    <row r="240" spans="1:9" s="435" customFormat="1" ht="38.25">
      <c r="A240" s="37" t="s">
        <v>1329</v>
      </c>
      <c r="B240" s="444">
        <v>93374</v>
      </c>
      <c r="C240" s="104" t="s">
        <v>1327</v>
      </c>
      <c r="D240" s="446" t="s">
        <v>61</v>
      </c>
      <c r="E240" s="445">
        <f>160*0.5*0.5</f>
        <v>40</v>
      </c>
      <c r="F240" s="434">
        <v>14.09</v>
      </c>
      <c r="G240" s="329">
        <f>ROUND(E240*F240,2)</f>
        <v>563.6</v>
      </c>
      <c r="H240" s="85"/>
    </row>
    <row r="241" spans="1:8" s="85" customFormat="1">
      <c r="A241" s="313" t="s">
        <v>191</v>
      </c>
      <c r="B241" s="52"/>
      <c r="C241" s="53" t="s">
        <v>52</v>
      </c>
      <c r="D241" s="59"/>
      <c r="E241" s="253"/>
      <c r="F241" s="93"/>
      <c r="G241" s="92">
        <f>ROUND(SUM(G242:G257),2)</f>
        <v>19885.580000000002</v>
      </c>
    </row>
    <row r="242" spans="1:8" s="435" customFormat="1">
      <c r="A242" s="37" t="s">
        <v>16</v>
      </c>
      <c r="B242" s="86" t="s">
        <v>206</v>
      </c>
      <c r="C242" s="104" t="s">
        <v>148</v>
      </c>
      <c r="D242" s="103" t="s">
        <v>11</v>
      </c>
      <c r="E242" s="433">
        <v>309.14</v>
      </c>
      <c r="F242" s="434">
        <v>22.5</v>
      </c>
      <c r="G242" s="329">
        <f t="shared" ref="G242:G257" si="12">ROUND(E242*F242,2)</f>
        <v>6955.65</v>
      </c>
      <c r="H242" s="85" t="s">
        <v>245</v>
      </c>
    </row>
    <row r="243" spans="1:8" s="435" customFormat="1">
      <c r="A243" s="37" t="s">
        <v>39</v>
      </c>
      <c r="B243" s="86" t="s">
        <v>207</v>
      </c>
      <c r="C243" s="104" t="s">
        <v>149</v>
      </c>
      <c r="D243" s="103" t="s">
        <v>11</v>
      </c>
      <c r="E243" s="433">
        <v>159.22</v>
      </c>
      <c r="F243" s="434">
        <v>31.81</v>
      </c>
      <c r="G243" s="329">
        <f t="shared" si="12"/>
        <v>5064.79</v>
      </c>
      <c r="H243" s="85" t="s">
        <v>245</v>
      </c>
    </row>
    <row r="244" spans="1:8" s="435" customFormat="1" ht="25.5">
      <c r="A244" s="37" t="s">
        <v>40</v>
      </c>
      <c r="B244" s="86" t="s">
        <v>422</v>
      </c>
      <c r="C244" s="104" t="s">
        <v>318</v>
      </c>
      <c r="D244" s="103" t="s">
        <v>10</v>
      </c>
      <c r="E244" s="433">
        <v>1</v>
      </c>
      <c r="F244" s="434">
        <v>476.32</v>
      </c>
      <c r="G244" s="329">
        <f t="shared" si="12"/>
        <v>476.32</v>
      </c>
      <c r="H244" s="85" t="s">
        <v>245</v>
      </c>
    </row>
    <row r="245" spans="1:8" s="435" customFormat="1" ht="12.75" customHeight="1">
      <c r="A245" s="37" t="s">
        <v>41</v>
      </c>
      <c r="B245" s="86" t="s">
        <v>208</v>
      </c>
      <c r="C245" s="104" t="s">
        <v>150</v>
      </c>
      <c r="D245" s="103" t="s">
        <v>10</v>
      </c>
      <c r="E245" s="433">
        <v>6</v>
      </c>
      <c r="F245" s="434">
        <v>10.27</v>
      </c>
      <c r="G245" s="329">
        <f t="shared" si="12"/>
        <v>61.62</v>
      </c>
      <c r="H245" s="85" t="s">
        <v>245</v>
      </c>
    </row>
    <row r="246" spans="1:8" s="435" customFormat="1" ht="25.5">
      <c r="A246" s="37" t="s">
        <v>42</v>
      </c>
      <c r="B246" s="86" t="s">
        <v>423</v>
      </c>
      <c r="C246" s="104" t="s">
        <v>319</v>
      </c>
      <c r="D246" s="103" t="s">
        <v>10</v>
      </c>
      <c r="E246" s="433">
        <v>48</v>
      </c>
      <c r="F246" s="434">
        <v>1.33</v>
      </c>
      <c r="G246" s="329">
        <f t="shared" si="12"/>
        <v>63.84</v>
      </c>
      <c r="H246" s="85" t="s">
        <v>245</v>
      </c>
    </row>
    <row r="247" spans="1:8" s="435" customFormat="1" ht="25.5">
      <c r="A247" s="37" t="s">
        <v>43</v>
      </c>
      <c r="B247" s="86" t="s">
        <v>424</v>
      </c>
      <c r="C247" s="104" t="s">
        <v>320</v>
      </c>
      <c r="D247" s="103" t="s">
        <v>10</v>
      </c>
      <c r="E247" s="433">
        <v>1</v>
      </c>
      <c r="F247" s="434">
        <v>730.56</v>
      </c>
      <c r="G247" s="329">
        <f t="shared" si="12"/>
        <v>730.56</v>
      </c>
      <c r="H247" s="85" t="s">
        <v>245</v>
      </c>
    </row>
    <row r="248" spans="1:8" s="435" customFormat="1" ht="25.5">
      <c r="A248" s="37" t="s">
        <v>94</v>
      </c>
      <c r="B248" s="86" t="s">
        <v>425</v>
      </c>
      <c r="C248" s="104" t="s">
        <v>321</v>
      </c>
      <c r="D248" s="103" t="s">
        <v>10</v>
      </c>
      <c r="E248" s="433">
        <v>156</v>
      </c>
      <c r="F248" s="434">
        <v>2.37</v>
      </c>
      <c r="G248" s="329">
        <f t="shared" si="12"/>
        <v>369.72</v>
      </c>
      <c r="H248" s="85" t="s">
        <v>245</v>
      </c>
    </row>
    <row r="249" spans="1:8" s="435" customFormat="1" ht="25.5">
      <c r="A249" s="37" t="s">
        <v>95</v>
      </c>
      <c r="B249" s="86" t="s">
        <v>426</v>
      </c>
      <c r="C249" s="104" t="s">
        <v>322</v>
      </c>
      <c r="D249" s="103" t="s">
        <v>10</v>
      </c>
      <c r="E249" s="433">
        <v>31</v>
      </c>
      <c r="F249" s="434">
        <v>20.48</v>
      </c>
      <c r="G249" s="329">
        <f t="shared" si="12"/>
        <v>634.88</v>
      </c>
      <c r="H249" s="85" t="s">
        <v>245</v>
      </c>
    </row>
    <row r="250" spans="1:8" s="435" customFormat="1" ht="25.5">
      <c r="A250" s="37" t="s">
        <v>96</v>
      </c>
      <c r="B250" s="86" t="s">
        <v>427</v>
      </c>
      <c r="C250" s="104" t="s">
        <v>323</v>
      </c>
      <c r="D250" s="103" t="s">
        <v>10</v>
      </c>
      <c r="E250" s="433">
        <v>18</v>
      </c>
      <c r="F250" s="434">
        <v>106.44</v>
      </c>
      <c r="G250" s="329">
        <f t="shared" si="12"/>
        <v>1915.92</v>
      </c>
      <c r="H250" s="85" t="s">
        <v>245</v>
      </c>
    </row>
    <row r="251" spans="1:8" s="435" customFormat="1">
      <c r="A251" s="37" t="s">
        <v>97</v>
      </c>
      <c r="B251" s="86">
        <v>96985</v>
      </c>
      <c r="C251" s="104" t="s">
        <v>1501</v>
      </c>
      <c r="D251" s="103" t="s">
        <v>10</v>
      </c>
      <c r="E251" s="433">
        <v>18</v>
      </c>
      <c r="F251" s="434">
        <v>35.96</v>
      </c>
      <c r="G251" s="329">
        <f t="shared" si="12"/>
        <v>647.28</v>
      </c>
      <c r="H251" s="85" t="s">
        <v>245</v>
      </c>
    </row>
    <row r="252" spans="1:8" s="435" customFormat="1" ht="25.5">
      <c r="A252" s="37" t="s">
        <v>98</v>
      </c>
      <c r="B252" s="86">
        <v>91872</v>
      </c>
      <c r="C252" s="104" t="s">
        <v>269</v>
      </c>
      <c r="D252" s="103" t="s">
        <v>11</v>
      </c>
      <c r="E252" s="433">
        <v>36</v>
      </c>
      <c r="F252" s="434">
        <v>8.52</v>
      </c>
      <c r="G252" s="329">
        <f t="shared" si="12"/>
        <v>306.72000000000003</v>
      </c>
      <c r="H252" s="85" t="s">
        <v>245</v>
      </c>
    </row>
    <row r="253" spans="1:8" s="435" customFormat="1" ht="25.5">
      <c r="A253" s="37" t="s">
        <v>99</v>
      </c>
      <c r="B253" s="86" t="s">
        <v>428</v>
      </c>
      <c r="C253" s="104" t="s">
        <v>324</v>
      </c>
      <c r="D253" s="103" t="s">
        <v>11</v>
      </c>
      <c r="E253" s="433">
        <v>150</v>
      </c>
      <c r="F253" s="434">
        <v>13.27</v>
      </c>
      <c r="G253" s="329">
        <f t="shared" si="12"/>
        <v>1990.5</v>
      </c>
      <c r="H253" s="85" t="s">
        <v>245</v>
      </c>
    </row>
    <row r="254" spans="1:8" s="435" customFormat="1">
      <c r="A254" s="37" t="s">
        <v>100</v>
      </c>
      <c r="B254" s="86" t="s">
        <v>429</v>
      </c>
      <c r="C254" s="104" t="s">
        <v>325</v>
      </c>
      <c r="D254" s="103" t="s">
        <v>10</v>
      </c>
      <c r="E254" s="433">
        <v>1</v>
      </c>
      <c r="F254" s="434">
        <v>34.299999999999997</v>
      </c>
      <c r="G254" s="329">
        <f t="shared" si="12"/>
        <v>34.299999999999997</v>
      </c>
      <c r="H254" s="85"/>
    </row>
    <row r="255" spans="1:8" s="435" customFormat="1">
      <c r="A255" s="37" t="s">
        <v>101</v>
      </c>
      <c r="B255" s="86">
        <v>72260</v>
      </c>
      <c r="C255" s="104" t="s">
        <v>316</v>
      </c>
      <c r="D255" s="103" t="s">
        <v>10</v>
      </c>
      <c r="E255" s="433">
        <v>20</v>
      </c>
      <c r="F255" s="434">
        <v>10.56</v>
      </c>
      <c r="G255" s="329">
        <f t="shared" si="12"/>
        <v>211.2</v>
      </c>
      <c r="H255" s="85"/>
    </row>
    <row r="256" spans="1:8" s="435" customFormat="1" ht="25.5">
      <c r="A256" s="37" t="s">
        <v>102</v>
      </c>
      <c r="B256" s="86" t="s">
        <v>418</v>
      </c>
      <c r="C256" s="104" t="s">
        <v>419</v>
      </c>
      <c r="D256" s="103" t="s">
        <v>10</v>
      </c>
      <c r="E256" s="433">
        <v>18</v>
      </c>
      <c r="F256" s="434">
        <v>10.9</v>
      </c>
      <c r="G256" s="329">
        <f t="shared" si="12"/>
        <v>196.2</v>
      </c>
      <c r="H256" s="85"/>
    </row>
    <row r="257" spans="1:10" s="435" customFormat="1" ht="25.5">
      <c r="A257" s="37" t="s">
        <v>103</v>
      </c>
      <c r="B257" s="86">
        <v>91885</v>
      </c>
      <c r="C257" s="104" t="s">
        <v>308</v>
      </c>
      <c r="D257" s="103" t="s">
        <v>10</v>
      </c>
      <c r="E257" s="433">
        <v>36</v>
      </c>
      <c r="F257" s="434">
        <v>6.28</v>
      </c>
      <c r="G257" s="329">
        <f t="shared" si="12"/>
        <v>226.08</v>
      </c>
      <c r="H257" s="85"/>
    </row>
    <row r="258" spans="1:10" s="85" customFormat="1">
      <c r="A258" s="58" t="s">
        <v>192</v>
      </c>
      <c r="B258" s="52"/>
      <c r="C258" s="53" t="s">
        <v>53</v>
      </c>
      <c r="D258" s="60"/>
      <c r="E258" s="253"/>
      <c r="F258" s="93"/>
      <c r="G258" s="92">
        <f>ROUND(SUM(G259:G267),2)</f>
        <v>8941.0499999999993</v>
      </c>
    </row>
    <row r="259" spans="1:10" s="61" customFormat="1" ht="25.5">
      <c r="A259" s="37" t="s">
        <v>20</v>
      </c>
      <c r="B259" s="103">
        <v>92642</v>
      </c>
      <c r="C259" s="104" t="s">
        <v>881</v>
      </c>
      <c r="D259" s="103" t="s">
        <v>10</v>
      </c>
      <c r="E259" s="433">
        <v>2</v>
      </c>
      <c r="F259" s="291">
        <v>97.17</v>
      </c>
      <c r="G259" s="329">
        <f t="shared" ref="G259:G267" si="13">ROUND(E259*F259,2)</f>
        <v>194.34</v>
      </c>
    </row>
    <row r="260" spans="1:10" s="61" customFormat="1" ht="25.5">
      <c r="A260" s="37" t="s">
        <v>21</v>
      </c>
      <c r="B260" s="103" t="s">
        <v>890</v>
      </c>
      <c r="C260" s="104" t="s">
        <v>882</v>
      </c>
      <c r="D260" s="103" t="s">
        <v>11</v>
      </c>
      <c r="E260" s="433">
        <v>50</v>
      </c>
      <c r="F260" s="291">
        <v>60.33</v>
      </c>
      <c r="G260" s="329">
        <f t="shared" si="13"/>
        <v>3016.5</v>
      </c>
    </row>
    <row r="261" spans="1:10" s="61" customFormat="1" ht="25.5">
      <c r="A261" s="37" t="s">
        <v>22</v>
      </c>
      <c r="B261" s="103" t="s">
        <v>891</v>
      </c>
      <c r="C261" s="104" t="s">
        <v>883</v>
      </c>
      <c r="D261" s="103" t="s">
        <v>10</v>
      </c>
      <c r="E261" s="433">
        <v>1</v>
      </c>
      <c r="F261" s="291">
        <v>43.79</v>
      </c>
      <c r="G261" s="329">
        <f t="shared" si="13"/>
        <v>43.79</v>
      </c>
    </row>
    <row r="262" spans="1:10" s="61" customFormat="1" ht="12.75" customHeight="1">
      <c r="A262" s="37" t="s">
        <v>23</v>
      </c>
      <c r="B262" s="103" t="s">
        <v>892</v>
      </c>
      <c r="C262" s="104" t="s">
        <v>884</v>
      </c>
      <c r="D262" s="103" t="s">
        <v>10</v>
      </c>
      <c r="E262" s="433">
        <v>2</v>
      </c>
      <c r="F262" s="291">
        <v>71.290000000000006</v>
      </c>
      <c r="G262" s="329">
        <f t="shared" si="13"/>
        <v>142.58000000000001</v>
      </c>
    </row>
    <row r="263" spans="1:10" s="61" customFormat="1">
      <c r="A263" s="37" t="s">
        <v>24</v>
      </c>
      <c r="B263" s="103" t="s">
        <v>893</v>
      </c>
      <c r="C263" s="104" t="s">
        <v>885</v>
      </c>
      <c r="D263" s="103" t="s">
        <v>10</v>
      </c>
      <c r="E263" s="433">
        <v>2</v>
      </c>
      <c r="F263" s="291">
        <v>178.43</v>
      </c>
      <c r="G263" s="329">
        <f t="shared" si="13"/>
        <v>356.86</v>
      </c>
    </row>
    <row r="264" spans="1:10" s="61" customFormat="1">
      <c r="A264" s="37" t="s">
        <v>25</v>
      </c>
      <c r="B264" s="103" t="s">
        <v>894</v>
      </c>
      <c r="C264" s="104" t="s">
        <v>886</v>
      </c>
      <c r="D264" s="103" t="s">
        <v>10</v>
      </c>
      <c r="E264" s="433">
        <v>2</v>
      </c>
      <c r="F264" s="291">
        <v>609.20000000000005</v>
      </c>
      <c r="G264" s="329">
        <f t="shared" si="13"/>
        <v>1218.4000000000001</v>
      </c>
    </row>
    <row r="265" spans="1:10" s="61" customFormat="1" ht="47.25" customHeight="1">
      <c r="A265" s="37" t="s">
        <v>60</v>
      </c>
      <c r="B265" s="103" t="s">
        <v>896</v>
      </c>
      <c r="C265" s="104" t="s">
        <v>888</v>
      </c>
      <c r="D265" s="103" t="s">
        <v>10</v>
      </c>
      <c r="E265" s="433">
        <v>2</v>
      </c>
      <c r="F265" s="291">
        <f>'Composições IFPB'!G99</f>
        <v>1298.75</v>
      </c>
      <c r="G265" s="329">
        <f t="shared" si="13"/>
        <v>2597.5</v>
      </c>
    </row>
    <row r="266" spans="1:10" s="61" customFormat="1" ht="25.5">
      <c r="A266" s="37" t="s">
        <v>93</v>
      </c>
      <c r="B266" s="103" t="s">
        <v>229</v>
      </c>
      <c r="C266" s="104" t="s">
        <v>397</v>
      </c>
      <c r="D266" s="103" t="s">
        <v>10</v>
      </c>
      <c r="E266" s="433">
        <v>15</v>
      </c>
      <c r="F266" s="291">
        <v>28.37</v>
      </c>
      <c r="G266" s="329">
        <f t="shared" si="13"/>
        <v>425.55</v>
      </c>
    </row>
    <row r="267" spans="1:10" s="61" customFormat="1">
      <c r="A267" s="37" t="s">
        <v>113</v>
      </c>
      <c r="B267" s="103">
        <v>97599</v>
      </c>
      <c r="C267" s="104" t="s">
        <v>887</v>
      </c>
      <c r="D267" s="103" t="s">
        <v>10</v>
      </c>
      <c r="E267" s="433">
        <v>23</v>
      </c>
      <c r="F267" s="291">
        <v>41.11</v>
      </c>
      <c r="G267" s="329">
        <f t="shared" si="13"/>
        <v>945.53</v>
      </c>
    </row>
    <row r="268" spans="1:10" s="85" customFormat="1">
      <c r="A268" s="58" t="s">
        <v>193</v>
      </c>
      <c r="B268" s="52"/>
      <c r="C268" s="53" t="s">
        <v>55</v>
      </c>
      <c r="D268" s="52"/>
      <c r="E268" s="240"/>
      <c r="F268" s="52"/>
      <c r="G268" s="92">
        <f>ROUND(SUM(G269:G293),2)</f>
        <v>26764.69</v>
      </c>
    </row>
    <row r="269" spans="1:10" s="61" customFormat="1">
      <c r="A269" s="37" t="s">
        <v>143</v>
      </c>
      <c r="B269" s="86" t="s">
        <v>326</v>
      </c>
      <c r="C269" s="104" t="s">
        <v>327</v>
      </c>
      <c r="D269" s="103" t="s">
        <v>11</v>
      </c>
      <c r="E269" s="433">
        <v>95</v>
      </c>
      <c r="F269" s="434">
        <v>14.38</v>
      </c>
      <c r="G269" s="40">
        <f t="shared" ref="G269:G291" si="14">ROUND(E269*F269,2)</f>
        <v>1366.1</v>
      </c>
      <c r="I269" s="533"/>
      <c r="J269" s="534"/>
    </row>
    <row r="270" spans="1:10" s="61" customFormat="1">
      <c r="A270" s="37" t="s">
        <v>144</v>
      </c>
      <c r="B270" s="86" t="s">
        <v>204</v>
      </c>
      <c r="C270" s="104" t="s">
        <v>328</v>
      </c>
      <c r="D270" s="103" t="s">
        <v>11</v>
      </c>
      <c r="E270" s="433">
        <f>29*15</f>
        <v>435</v>
      </c>
      <c r="F270" s="434">
        <v>7.09</v>
      </c>
      <c r="G270" s="40">
        <f t="shared" si="14"/>
        <v>3084.15</v>
      </c>
      <c r="I270" s="533"/>
      <c r="J270" s="534"/>
    </row>
    <row r="271" spans="1:10" s="61" customFormat="1">
      <c r="A271" s="37" t="s">
        <v>230</v>
      </c>
      <c r="B271" s="535" t="s">
        <v>1490</v>
      </c>
      <c r="C271" s="104" t="s">
        <v>1491</v>
      </c>
      <c r="D271" s="103" t="s">
        <v>11</v>
      </c>
      <c r="E271" s="433">
        <v>29</v>
      </c>
      <c r="F271" s="434">
        <v>243.91</v>
      </c>
      <c r="G271" s="40">
        <f t="shared" si="14"/>
        <v>7073.39</v>
      </c>
      <c r="I271" s="533"/>
      <c r="J271" s="534"/>
    </row>
    <row r="272" spans="1:10" s="61" customFormat="1" ht="25.5">
      <c r="A272" s="37" t="s">
        <v>889</v>
      </c>
      <c r="B272" s="86">
        <v>91872</v>
      </c>
      <c r="C272" s="104" t="s">
        <v>269</v>
      </c>
      <c r="D272" s="103" t="s">
        <v>11</v>
      </c>
      <c r="E272" s="433">
        <v>120</v>
      </c>
      <c r="F272" s="434">
        <v>8.52</v>
      </c>
      <c r="G272" s="40">
        <f t="shared" si="14"/>
        <v>1022.4</v>
      </c>
      <c r="I272" s="533"/>
      <c r="J272" s="534"/>
    </row>
    <row r="273" spans="1:10" s="61" customFormat="1">
      <c r="A273" s="37" t="s">
        <v>231</v>
      </c>
      <c r="B273" s="86" t="s">
        <v>330</v>
      </c>
      <c r="C273" s="104" t="s">
        <v>430</v>
      </c>
      <c r="D273" s="103" t="s">
        <v>10</v>
      </c>
      <c r="E273" s="433">
        <v>2</v>
      </c>
      <c r="F273" s="434">
        <v>109.63</v>
      </c>
      <c r="G273" s="40">
        <f t="shared" si="14"/>
        <v>219.26</v>
      </c>
      <c r="I273" s="533"/>
      <c r="J273" s="534"/>
    </row>
    <row r="274" spans="1:10" s="61" customFormat="1">
      <c r="A274" s="37" t="s">
        <v>145</v>
      </c>
      <c r="B274" s="86" t="s">
        <v>442</v>
      </c>
      <c r="C274" s="104" t="s">
        <v>136</v>
      </c>
      <c r="D274" s="103" t="s">
        <v>10</v>
      </c>
      <c r="E274" s="433">
        <v>2</v>
      </c>
      <c r="F274" s="434">
        <v>39.68</v>
      </c>
      <c r="G274" s="40">
        <f t="shared" si="14"/>
        <v>79.36</v>
      </c>
      <c r="I274" s="533"/>
      <c r="J274" s="534"/>
    </row>
    <row r="275" spans="1:10" s="61" customFormat="1">
      <c r="A275" s="37" t="s">
        <v>146</v>
      </c>
      <c r="B275" s="86">
        <v>98302</v>
      </c>
      <c r="C275" s="104" t="s">
        <v>1492</v>
      </c>
      <c r="D275" s="103" t="s">
        <v>10</v>
      </c>
      <c r="E275" s="433">
        <v>2</v>
      </c>
      <c r="F275" s="434">
        <v>474.69</v>
      </c>
      <c r="G275" s="40">
        <f t="shared" si="14"/>
        <v>949.38</v>
      </c>
      <c r="I275" s="533"/>
      <c r="J275" s="534"/>
    </row>
    <row r="276" spans="1:10" s="61" customFormat="1" ht="25.5">
      <c r="A276" s="37" t="s">
        <v>214</v>
      </c>
      <c r="B276" s="86" t="s">
        <v>1493</v>
      </c>
      <c r="C276" s="104" t="s">
        <v>431</v>
      </c>
      <c r="D276" s="103" t="s">
        <v>10</v>
      </c>
      <c r="E276" s="433">
        <v>58</v>
      </c>
      <c r="F276" s="434">
        <v>32.83</v>
      </c>
      <c r="G276" s="40">
        <f t="shared" si="14"/>
        <v>1904.14</v>
      </c>
      <c r="I276" s="533"/>
      <c r="J276" s="534"/>
    </row>
    <row r="277" spans="1:10" s="61" customFormat="1">
      <c r="A277" s="37" t="s">
        <v>215</v>
      </c>
      <c r="B277" s="86" t="s">
        <v>331</v>
      </c>
      <c r="C277" s="104" t="s">
        <v>432</v>
      </c>
      <c r="D277" s="103" t="s">
        <v>10</v>
      </c>
      <c r="E277" s="433">
        <v>2</v>
      </c>
      <c r="F277" s="434">
        <v>40</v>
      </c>
      <c r="G277" s="40">
        <f t="shared" si="14"/>
        <v>80</v>
      </c>
      <c r="I277" s="533"/>
      <c r="J277" s="534"/>
    </row>
    <row r="278" spans="1:10" s="61" customFormat="1">
      <c r="A278" s="37" t="s">
        <v>1020</v>
      </c>
      <c r="B278" s="86" t="s">
        <v>442</v>
      </c>
      <c r="C278" s="104" t="s">
        <v>137</v>
      </c>
      <c r="D278" s="103" t="s">
        <v>10</v>
      </c>
      <c r="E278" s="433">
        <v>4</v>
      </c>
      <c r="F278" s="434">
        <v>85</v>
      </c>
      <c r="G278" s="40">
        <f t="shared" si="14"/>
        <v>340</v>
      </c>
      <c r="I278" s="533"/>
      <c r="J278" s="534"/>
    </row>
    <row r="279" spans="1:10" s="61" customFormat="1">
      <c r="A279" s="37" t="s">
        <v>1021</v>
      </c>
      <c r="B279" s="86" t="s">
        <v>433</v>
      </c>
      <c r="C279" s="104" t="s">
        <v>434</v>
      </c>
      <c r="D279" s="103" t="s">
        <v>10</v>
      </c>
      <c r="E279" s="433">
        <v>50</v>
      </c>
      <c r="F279" s="434">
        <v>0.81</v>
      </c>
      <c r="G279" s="40">
        <f t="shared" si="14"/>
        <v>40.5</v>
      </c>
      <c r="I279" s="533"/>
      <c r="J279" s="534"/>
    </row>
    <row r="280" spans="1:10" s="61" customFormat="1">
      <c r="A280" s="37" t="s">
        <v>1022</v>
      </c>
      <c r="B280" s="86" t="s">
        <v>332</v>
      </c>
      <c r="C280" s="104" t="s">
        <v>435</v>
      </c>
      <c r="D280" s="103" t="s">
        <v>10</v>
      </c>
      <c r="E280" s="433">
        <v>29</v>
      </c>
      <c r="F280" s="434">
        <v>18.850000000000001</v>
      </c>
      <c r="G280" s="40">
        <f t="shared" si="14"/>
        <v>546.65</v>
      </c>
      <c r="I280" s="533"/>
      <c r="J280" s="534"/>
    </row>
    <row r="281" spans="1:10" s="61" customFormat="1">
      <c r="A281" s="37" t="s">
        <v>1023</v>
      </c>
      <c r="B281" s="86" t="s">
        <v>436</v>
      </c>
      <c r="C281" s="104" t="s">
        <v>437</v>
      </c>
      <c r="D281" s="103" t="s">
        <v>10</v>
      </c>
      <c r="E281" s="433">
        <v>2</v>
      </c>
      <c r="F281" s="434">
        <v>86.7</v>
      </c>
      <c r="G281" s="40">
        <f t="shared" si="14"/>
        <v>173.4</v>
      </c>
      <c r="I281" s="533"/>
      <c r="J281" s="534"/>
    </row>
    <row r="282" spans="1:10" s="61" customFormat="1">
      <c r="A282" s="37" t="s">
        <v>1024</v>
      </c>
      <c r="B282" s="86" t="s">
        <v>442</v>
      </c>
      <c r="C282" s="104" t="s">
        <v>138</v>
      </c>
      <c r="D282" s="103" t="s">
        <v>10</v>
      </c>
      <c r="E282" s="433">
        <v>100</v>
      </c>
      <c r="F282" s="434">
        <v>15.24</v>
      </c>
      <c r="G282" s="40">
        <f t="shared" si="14"/>
        <v>1524</v>
      </c>
      <c r="I282" s="533"/>
      <c r="J282" s="534"/>
    </row>
    <row r="283" spans="1:10" s="61" customFormat="1">
      <c r="A283" s="37" t="s">
        <v>1025</v>
      </c>
      <c r="B283" s="86" t="s">
        <v>333</v>
      </c>
      <c r="C283" s="104" t="s">
        <v>334</v>
      </c>
      <c r="D283" s="103" t="s">
        <v>10</v>
      </c>
      <c r="E283" s="433">
        <v>300</v>
      </c>
      <c r="F283" s="434">
        <v>0.11</v>
      </c>
      <c r="G283" s="40">
        <f t="shared" si="14"/>
        <v>33</v>
      </c>
      <c r="I283" s="533"/>
      <c r="J283" s="534"/>
    </row>
    <row r="284" spans="1:10" s="61" customFormat="1">
      <c r="A284" s="37" t="s">
        <v>1026</v>
      </c>
      <c r="B284" s="86" t="s">
        <v>1494</v>
      </c>
      <c r="C284" s="104" t="s">
        <v>1495</v>
      </c>
      <c r="D284" s="103" t="s">
        <v>10</v>
      </c>
      <c r="E284" s="433">
        <v>1</v>
      </c>
      <c r="F284" s="434">
        <v>1637.13</v>
      </c>
      <c r="G284" s="40">
        <f t="shared" si="14"/>
        <v>1637.13</v>
      </c>
      <c r="I284" s="533"/>
      <c r="J284" s="534"/>
    </row>
    <row r="285" spans="1:10" s="61" customFormat="1">
      <c r="A285" s="37" t="s">
        <v>1027</v>
      </c>
      <c r="B285" s="86" t="s">
        <v>335</v>
      </c>
      <c r="C285" s="104" t="s">
        <v>438</v>
      </c>
      <c r="D285" s="103" t="s">
        <v>10</v>
      </c>
      <c r="E285" s="433">
        <v>1</v>
      </c>
      <c r="F285" s="434">
        <v>21.1</v>
      </c>
      <c r="G285" s="40">
        <f t="shared" si="14"/>
        <v>21.1</v>
      </c>
      <c r="I285" s="533"/>
      <c r="J285" s="534"/>
    </row>
    <row r="286" spans="1:10" s="61" customFormat="1" ht="38.25">
      <c r="A286" s="37" t="s">
        <v>1028</v>
      </c>
      <c r="B286" s="86" t="s">
        <v>1496</v>
      </c>
      <c r="C286" s="104" t="s">
        <v>1497</v>
      </c>
      <c r="D286" s="103" t="s">
        <v>10</v>
      </c>
      <c r="E286" s="433">
        <v>1</v>
      </c>
      <c r="F286" s="434">
        <v>591.64</v>
      </c>
      <c r="G286" s="40">
        <f t="shared" si="14"/>
        <v>591.64</v>
      </c>
      <c r="I286" s="533"/>
      <c r="J286" s="534"/>
    </row>
    <row r="287" spans="1:10" s="61" customFormat="1">
      <c r="A287" s="37" t="s">
        <v>1029</v>
      </c>
      <c r="B287" s="86" t="s">
        <v>336</v>
      </c>
      <c r="C287" s="104" t="s">
        <v>1498</v>
      </c>
      <c r="D287" s="103" t="s">
        <v>10</v>
      </c>
      <c r="E287" s="433">
        <v>1</v>
      </c>
      <c r="F287" s="434">
        <v>750.97</v>
      </c>
      <c r="G287" s="40">
        <f t="shared" si="14"/>
        <v>750.97</v>
      </c>
      <c r="I287" s="533"/>
      <c r="J287" s="534"/>
    </row>
    <row r="288" spans="1:10" s="61" customFormat="1">
      <c r="A288" s="37" t="s">
        <v>1030</v>
      </c>
      <c r="B288" s="86" t="s">
        <v>439</v>
      </c>
      <c r="C288" s="104" t="s">
        <v>440</v>
      </c>
      <c r="D288" s="103" t="s">
        <v>10</v>
      </c>
      <c r="E288" s="433">
        <v>1</v>
      </c>
      <c r="F288" s="434">
        <v>3483.25</v>
      </c>
      <c r="G288" s="40">
        <f t="shared" si="14"/>
        <v>3483.25</v>
      </c>
      <c r="I288" s="533"/>
      <c r="J288" s="534"/>
    </row>
    <row r="289" spans="1:10" s="61" customFormat="1">
      <c r="A289" s="37" t="s">
        <v>1031</v>
      </c>
      <c r="B289" s="86" t="s">
        <v>337</v>
      </c>
      <c r="C289" s="104" t="s">
        <v>338</v>
      </c>
      <c r="D289" s="103" t="s">
        <v>10</v>
      </c>
      <c r="E289" s="433">
        <v>29</v>
      </c>
      <c r="F289" s="434">
        <v>16.43</v>
      </c>
      <c r="G289" s="40">
        <f t="shared" si="14"/>
        <v>476.47</v>
      </c>
      <c r="I289" s="533"/>
      <c r="J289" s="534"/>
    </row>
    <row r="290" spans="1:10" s="61" customFormat="1" ht="25.5">
      <c r="A290" s="37" t="s">
        <v>1032</v>
      </c>
      <c r="B290" s="86" t="s">
        <v>418</v>
      </c>
      <c r="C290" s="104" t="s">
        <v>419</v>
      </c>
      <c r="D290" s="103" t="s">
        <v>10</v>
      </c>
      <c r="E290" s="433">
        <v>9</v>
      </c>
      <c r="F290" s="434">
        <v>10.9</v>
      </c>
      <c r="G290" s="40">
        <f t="shared" si="14"/>
        <v>98.1</v>
      </c>
      <c r="I290" s="536"/>
      <c r="J290" s="534"/>
    </row>
    <row r="291" spans="1:10" s="61" customFormat="1" ht="25.5">
      <c r="A291" s="37" t="s">
        <v>1033</v>
      </c>
      <c r="B291" s="86">
        <v>91885</v>
      </c>
      <c r="C291" s="439" t="s">
        <v>308</v>
      </c>
      <c r="D291" s="537" t="s">
        <v>213</v>
      </c>
      <c r="E291" s="433">
        <v>20</v>
      </c>
      <c r="F291" s="440">
        <v>6.28</v>
      </c>
      <c r="G291" s="40">
        <f t="shared" si="14"/>
        <v>125.6</v>
      </c>
      <c r="I291" s="536"/>
      <c r="J291" s="534"/>
    </row>
    <row r="292" spans="1:10" s="435" customFormat="1">
      <c r="A292" s="37" t="s">
        <v>1034</v>
      </c>
      <c r="B292" s="86" t="s">
        <v>293</v>
      </c>
      <c r="C292" s="104" t="s">
        <v>294</v>
      </c>
      <c r="D292" s="103" t="s">
        <v>213</v>
      </c>
      <c r="E292" s="433">
        <v>5</v>
      </c>
      <c r="F292" s="434">
        <v>55</v>
      </c>
      <c r="G292" s="57">
        <f>ROUND(E292*F292,2)</f>
        <v>275</v>
      </c>
      <c r="H292" s="85" t="s">
        <v>245</v>
      </c>
    </row>
    <row r="293" spans="1:10" s="435" customFormat="1">
      <c r="A293" s="37" t="s">
        <v>1035</v>
      </c>
      <c r="B293" s="86" t="s">
        <v>1302</v>
      </c>
      <c r="C293" s="104" t="s">
        <v>1303</v>
      </c>
      <c r="D293" s="103" t="s">
        <v>213</v>
      </c>
      <c r="E293" s="433">
        <v>15</v>
      </c>
      <c r="F293" s="434">
        <v>57.98</v>
      </c>
      <c r="G293" s="57">
        <f>ROUND(E293*F293,2)</f>
        <v>869.7</v>
      </c>
      <c r="H293" s="85"/>
    </row>
    <row r="294" spans="1:10" s="85" customFormat="1">
      <c r="A294" s="95" t="s">
        <v>194</v>
      </c>
      <c r="B294" s="96"/>
      <c r="C294" s="33" t="s">
        <v>59</v>
      </c>
      <c r="D294" s="34"/>
      <c r="E294" s="253"/>
      <c r="F294" s="93"/>
      <c r="G294" s="92">
        <f>ROUND(SUM(G295:G296),2)</f>
        <v>21039.26</v>
      </c>
    </row>
    <row r="295" spans="1:10" s="539" customFormat="1">
      <c r="A295" s="37" t="s">
        <v>1488</v>
      </c>
      <c r="B295" s="444" t="s">
        <v>1499</v>
      </c>
      <c r="C295" s="104" t="s">
        <v>339</v>
      </c>
      <c r="D295" s="38" t="s">
        <v>11</v>
      </c>
      <c r="E295" s="538">
        <f>40*1.1</f>
        <v>44</v>
      </c>
      <c r="F295" s="538">
        <v>7.8</v>
      </c>
      <c r="G295" s="40">
        <f>ROUND(E295*F295,2)</f>
        <v>343.2</v>
      </c>
    </row>
    <row r="296" spans="1:10" s="539" customFormat="1" ht="25.5">
      <c r="A296" s="37" t="s">
        <v>1489</v>
      </c>
      <c r="B296" s="444" t="s">
        <v>340</v>
      </c>
      <c r="C296" s="104" t="s">
        <v>1500</v>
      </c>
      <c r="D296" s="38" t="s">
        <v>11</v>
      </c>
      <c r="E296" s="538">
        <f>140*1.1</f>
        <v>154</v>
      </c>
      <c r="F296" s="538">
        <v>134.38999999999999</v>
      </c>
      <c r="G296" s="40">
        <f>ROUND(E296*F296,2)</f>
        <v>20696.060000000001</v>
      </c>
    </row>
    <row r="297" spans="1:10" s="85" customFormat="1" ht="15.75" customHeight="1">
      <c r="A297" s="95" t="s">
        <v>195</v>
      </c>
      <c r="B297" s="96"/>
      <c r="C297" s="211" t="s">
        <v>5</v>
      </c>
      <c r="D297" s="97"/>
      <c r="E297" s="253"/>
      <c r="F297" s="93"/>
      <c r="G297" s="92">
        <f>ROUND(SUM(G299:G309),2)</f>
        <v>60910.95</v>
      </c>
    </row>
    <row r="298" spans="1:10" s="204" customFormat="1" ht="18.75" customHeight="1">
      <c r="A298" s="273"/>
      <c r="B298" s="274"/>
      <c r="C298" s="275" t="s">
        <v>877</v>
      </c>
      <c r="D298" s="276"/>
      <c r="E298" s="268"/>
      <c r="F298" s="245"/>
      <c r="G298" s="246"/>
    </row>
    <row r="299" spans="1:10" s="204" customFormat="1" ht="18" customHeight="1">
      <c r="A299" s="282" t="s">
        <v>201</v>
      </c>
      <c r="B299" s="118" t="s">
        <v>573</v>
      </c>
      <c r="C299" s="119" t="s">
        <v>232</v>
      </c>
      <c r="D299" s="206" t="s">
        <v>9</v>
      </c>
      <c r="E299" s="252">
        <f>'Memória Civil'!P376</f>
        <v>817.37</v>
      </c>
      <c r="F299" s="217">
        <v>15.3</v>
      </c>
      <c r="G299" s="208">
        <f t="shared" ref="G299:G309" si="15">ROUND(E299*F299,2)</f>
        <v>12505.76</v>
      </c>
      <c r="H299" s="118"/>
    </row>
    <row r="300" spans="1:10" s="204" customFormat="1" ht="25.5">
      <c r="A300" s="282" t="s">
        <v>202</v>
      </c>
      <c r="B300" s="118" t="s">
        <v>874</v>
      </c>
      <c r="C300" s="119" t="s">
        <v>875</v>
      </c>
      <c r="D300" s="206" t="s">
        <v>9</v>
      </c>
      <c r="E300" s="252">
        <f>'Memória Civil'!P387</f>
        <v>817.37</v>
      </c>
      <c r="F300" s="217">
        <v>8.65</v>
      </c>
      <c r="G300" s="208">
        <f t="shared" si="15"/>
        <v>7070.25</v>
      </c>
      <c r="H300" s="118"/>
    </row>
    <row r="301" spans="1:10" s="204" customFormat="1" ht="17.25" customHeight="1">
      <c r="A301" s="282" t="s">
        <v>1036</v>
      </c>
      <c r="B301" s="118" t="s">
        <v>876</v>
      </c>
      <c r="C301" s="119" t="s">
        <v>1546</v>
      </c>
      <c r="D301" s="206" t="s">
        <v>9</v>
      </c>
      <c r="E301" s="252">
        <f>'Memória Civil'!P398</f>
        <v>407.98999999999995</v>
      </c>
      <c r="F301" s="217">
        <v>2.08</v>
      </c>
      <c r="G301" s="208">
        <f t="shared" si="15"/>
        <v>848.62</v>
      </c>
      <c r="H301" s="118"/>
    </row>
    <row r="302" spans="1:10" s="204" customFormat="1" ht="15.75" customHeight="1">
      <c r="A302" s="282" t="s">
        <v>1037</v>
      </c>
      <c r="B302" s="118" t="s">
        <v>575</v>
      </c>
      <c r="C302" s="119" t="s">
        <v>443</v>
      </c>
      <c r="D302" s="206" t="s">
        <v>9</v>
      </c>
      <c r="E302" s="252">
        <f>'Memória Civil'!P407</f>
        <v>407.98999999999995</v>
      </c>
      <c r="F302" s="217">
        <v>8.42</v>
      </c>
      <c r="G302" s="208">
        <f t="shared" si="15"/>
        <v>3435.28</v>
      </c>
      <c r="H302" s="118"/>
    </row>
    <row r="303" spans="1:10" s="204" customFormat="1" ht="15.75" customHeight="1">
      <c r="A303" s="282" t="s">
        <v>1038</v>
      </c>
      <c r="B303" s="118" t="s">
        <v>879</v>
      </c>
      <c r="C303" s="119" t="s">
        <v>919</v>
      </c>
      <c r="D303" s="206" t="s">
        <v>9</v>
      </c>
      <c r="E303" s="252">
        <f>'Memória Civil'!P416</f>
        <v>407.98999999999995</v>
      </c>
      <c r="F303" s="217">
        <v>7.9</v>
      </c>
      <c r="G303" s="208">
        <f t="shared" si="15"/>
        <v>3223.12</v>
      </c>
      <c r="H303" s="118"/>
    </row>
    <row r="304" spans="1:10" s="204" customFormat="1">
      <c r="A304" s="282"/>
      <c r="B304" s="118"/>
      <c r="C304" s="266" t="s">
        <v>869</v>
      </c>
      <c r="D304" s="206"/>
      <c r="E304" s="252"/>
      <c r="F304" s="217"/>
      <c r="G304" s="208"/>
      <c r="H304" s="118"/>
    </row>
    <row r="305" spans="1:12" s="204" customFormat="1" ht="15" customHeight="1">
      <c r="A305" s="282" t="s">
        <v>1039</v>
      </c>
      <c r="B305" s="118" t="s">
        <v>574</v>
      </c>
      <c r="C305" s="119" t="s">
        <v>233</v>
      </c>
      <c r="D305" s="206" t="s">
        <v>9</v>
      </c>
      <c r="E305" s="252">
        <f>'Memória Civil'!P425</f>
        <v>1298.1600000000001</v>
      </c>
      <c r="F305" s="217">
        <v>1.56</v>
      </c>
      <c r="G305" s="208">
        <f t="shared" si="15"/>
        <v>2025.13</v>
      </c>
      <c r="H305" s="118"/>
    </row>
    <row r="306" spans="1:12" s="204" customFormat="1" ht="33" customHeight="1">
      <c r="A306" s="282" t="s">
        <v>1040</v>
      </c>
      <c r="B306" s="118" t="s">
        <v>916</v>
      </c>
      <c r="C306" s="119" t="s">
        <v>917</v>
      </c>
      <c r="D306" s="206" t="s">
        <v>9</v>
      </c>
      <c r="E306" s="252">
        <f>'Memória Civil'!P442</f>
        <v>1298.1600000000001</v>
      </c>
      <c r="F306" s="217">
        <v>14.02</v>
      </c>
      <c r="G306" s="208">
        <f t="shared" si="15"/>
        <v>18200.2</v>
      </c>
      <c r="H306" s="118"/>
    </row>
    <row r="307" spans="1:12" s="204" customFormat="1" ht="32.25" customHeight="1">
      <c r="A307" s="282" t="s">
        <v>1041</v>
      </c>
      <c r="B307" s="118" t="s">
        <v>576</v>
      </c>
      <c r="C307" s="119" t="s">
        <v>234</v>
      </c>
      <c r="D307" s="206" t="s">
        <v>9</v>
      </c>
      <c r="E307" s="252">
        <f>'Memória Civil'!P459</f>
        <v>1298.1600000000001</v>
      </c>
      <c r="F307" s="217">
        <v>9.84</v>
      </c>
      <c r="G307" s="208">
        <f t="shared" si="15"/>
        <v>12773.89</v>
      </c>
      <c r="H307" s="118"/>
      <c r="I307" s="287"/>
    </row>
    <row r="308" spans="1:12" s="204" customFormat="1" ht="18" customHeight="1">
      <c r="A308" s="282"/>
      <c r="B308" s="118"/>
      <c r="C308" s="266" t="s">
        <v>880</v>
      </c>
      <c r="D308" s="206"/>
      <c r="E308" s="252"/>
      <c r="F308" s="217"/>
      <c r="G308" s="208"/>
      <c r="H308" s="118"/>
      <c r="I308" s="287"/>
    </row>
    <row r="309" spans="1:12" s="204" customFormat="1" ht="25.5">
      <c r="A309" s="282" t="s">
        <v>1042</v>
      </c>
      <c r="B309" s="118" t="s">
        <v>577</v>
      </c>
      <c r="C309" s="119" t="s">
        <v>444</v>
      </c>
      <c r="D309" s="118" t="s">
        <v>9</v>
      </c>
      <c r="E309" s="295">
        <f>'Memória Civil'!P476</f>
        <v>30.7608</v>
      </c>
      <c r="F309" s="236">
        <v>26.94</v>
      </c>
      <c r="G309" s="208">
        <f t="shared" si="15"/>
        <v>828.7</v>
      </c>
      <c r="H309" s="118"/>
      <c r="I309" s="287"/>
    </row>
    <row r="310" spans="1:12" s="85" customFormat="1">
      <c r="A310" s="95" t="s">
        <v>196</v>
      </c>
      <c r="B310" s="96"/>
      <c r="C310" s="211" t="s">
        <v>7</v>
      </c>
      <c r="D310" s="97"/>
      <c r="E310" s="253"/>
      <c r="F310" s="93"/>
      <c r="G310" s="92">
        <f>ROUND(SUM(G311:G326),2)</f>
        <v>9754.2000000000007</v>
      </c>
    </row>
    <row r="311" spans="1:12" s="204" customFormat="1">
      <c r="A311" s="120" t="s">
        <v>871</v>
      </c>
      <c r="B311" s="285" t="s">
        <v>406</v>
      </c>
      <c r="C311" s="132" t="s">
        <v>405</v>
      </c>
      <c r="D311" s="206" t="s">
        <v>9</v>
      </c>
      <c r="E311" s="252">
        <f>'Memória Civil'!P482</f>
        <v>2.8050000000000006</v>
      </c>
      <c r="F311" s="217">
        <f>'Comp. ORSE com insumos SINAPI'!G347</f>
        <v>344.92600000000004</v>
      </c>
      <c r="G311" s="208">
        <f t="shared" ref="G311:G326" si="16">ROUND(E311*F311,2)</f>
        <v>967.52</v>
      </c>
    </row>
    <row r="312" spans="1:12" s="204" customFormat="1" ht="44.25" customHeight="1">
      <c r="A312" s="120" t="s">
        <v>872</v>
      </c>
      <c r="B312" s="118" t="s">
        <v>1234</v>
      </c>
      <c r="C312" s="241" t="s">
        <v>1233</v>
      </c>
      <c r="D312" s="206" t="s">
        <v>10</v>
      </c>
      <c r="E312" s="252">
        <f>'Memória Civil'!P487</f>
        <v>2</v>
      </c>
      <c r="F312" s="217">
        <f>'Comp. ORSE com insumos SINAPI'!G366</f>
        <v>279.28468800000002</v>
      </c>
      <c r="G312" s="208">
        <f t="shared" si="16"/>
        <v>558.57000000000005</v>
      </c>
    </row>
    <row r="313" spans="1:12" s="204" customFormat="1" ht="25.5">
      <c r="A313" s="120" t="s">
        <v>873</v>
      </c>
      <c r="B313" s="118" t="s">
        <v>544</v>
      </c>
      <c r="C313" s="119" t="s">
        <v>235</v>
      </c>
      <c r="D313" s="206" t="s">
        <v>10</v>
      </c>
      <c r="E313" s="252">
        <f>'Memória Civil'!P492</f>
        <v>4</v>
      </c>
      <c r="F313" s="217">
        <v>341.31</v>
      </c>
      <c r="G313" s="208">
        <f t="shared" si="16"/>
        <v>1365.24</v>
      </c>
    </row>
    <row r="314" spans="1:12" s="204" customFormat="1" ht="18.75" customHeight="1">
      <c r="A314" s="120" t="s">
        <v>908</v>
      </c>
      <c r="B314" s="118" t="s">
        <v>545</v>
      </c>
      <c r="C314" s="132" t="s">
        <v>401</v>
      </c>
      <c r="D314" s="206" t="s">
        <v>10</v>
      </c>
      <c r="E314" s="252">
        <f>'Memória Civil'!P497</f>
        <v>4</v>
      </c>
      <c r="F314" s="217">
        <f>'Comp. ORSE com insumos SINAPI'!G371</f>
        <v>33.74</v>
      </c>
      <c r="G314" s="208">
        <f t="shared" si="16"/>
        <v>134.96</v>
      </c>
    </row>
    <row r="315" spans="1:12" s="204" customFormat="1">
      <c r="A315" s="120" t="s">
        <v>909</v>
      </c>
      <c r="B315" s="118" t="s">
        <v>165</v>
      </c>
      <c r="C315" s="119" t="s">
        <v>164</v>
      </c>
      <c r="D315" s="206" t="s">
        <v>10</v>
      </c>
      <c r="E315" s="252">
        <f>'Memória Civil'!P502</f>
        <v>6</v>
      </c>
      <c r="F315" s="217">
        <f>'Comp. ORSE com insumos SINAPI'!G378</f>
        <v>154.45500000000001</v>
      </c>
      <c r="G315" s="208">
        <f t="shared" si="16"/>
        <v>926.73</v>
      </c>
    </row>
    <row r="316" spans="1:12" s="204" customFormat="1" ht="25.5">
      <c r="A316" s="120" t="s">
        <v>910</v>
      </c>
      <c r="B316" s="307" t="s">
        <v>498</v>
      </c>
      <c r="C316" s="308" t="s">
        <v>497</v>
      </c>
      <c r="D316" s="206" t="s">
        <v>499</v>
      </c>
      <c r="E316" s="252">
        <f>'Memória Civil'!P507</f>
        <v>2</v>
      </c>
      <c r="F316" s="217">
        <f>'Comp. ORSE com insumos SINAPI'!G385</f>
        <v>335.73499999999996</v>
      </c>
      <c r="G316" s="208">
        <f t="shared" si="16"/>
        <v>671.47</v>
      </c>
    </row>
    <row r="317" spans="1:12" s="318" customFormat="1" ht="25.5">
      <c r="A317" s="120" t="s">
        <v>911</v>
      </c>
      <c r="B317" s="120" t="s">
        <v>578</v>
      </c>
      <c r="C317" s="119" t="s">
        <v>402</v>
      </c>
      <c r="D317" s="206" t="s">
        <v>10</v>
      </c>
      <c r="E317" s="252">
        <f>'Memória Civil'!P512</f>
        <v>5</v>
      </c>
      <c r="F317" s="217">
        <v>101.56</v>
      </c>
      <c r="G317" s="208">
        <f t="shared" si="16"/>
        <v>507.8</v>
      </c>
    </row>
    <row r="318" spans="1:12" s="204" customFormat="1" ht="63" customHeight="1">
      <c r="A318" s="120" t="s">
        <v>913</v>
      </c>
      <c r="B318" s="120" t="s">
        <v>579</v>
      </c>
      <c r="C318" s="119" t="s">
        <v>407</v>
      </c>
      <c r="D318" s="206" t="s">
        <v>10</v>
      </c>
      <c r="E318" s="252">
        <f>'Memória Civil'!P517</f>
        <v>2</v>
      </c>
      <c r="F318" s="217">
        <v>170.32</v>
      </c>
      <c r="G318" s="208">
        <f t="shared" si="16"/>
        <v>340.64</v>
      </c>
      <c r="K318" s="319"/>
      <c r="L318" s="319"/>
    </row>
    <row r="319" spans="1:12" s="204" customFormat="1" ht="38.25">
      <c r="A319" s="120" t="s">
        <v>918</v>
      </c>
      <c r="B319" s="118" t="s">
        <v>580</v>
      </c>
      <c r="C319" s="119" t="s">
        <v>408</v>
      </c>
      <c r="D319" s="206" t="s">
        <v>10</v>
      </c>
      <c r="E319" s="252">
        <f>'Memória Civil'!P522</f>
        <v>2</v>
      </c>
      <c r="F319" s="217">
        <v>440.27</v>
      </c>
      <c r="G319" s="208">
        <f t="shared" si="16"/>
        <v>880.54</v>
      </c>
    </row>
    <row r="320" spans="1:12" s="204" customFormat="1" ht="15.75" customHeight="1">
      <c r="A320" s="120" t="s">
        <v>1043</v>
      </c>
      <c r="B320" s="118" t="s">
        <v>565</v>
      </c>
      <c r="C320" s="119" t="s">
        <v>209</v>
      </c>
      <c r="D320" s="206" t="s">
        <v>10</v>
      </c>
      <c r="E320" s="252">
        <f>'Memória Civil'!P527</f>
        <v>6</v>
      </c>
      <c r="F320" s="217">
        <f>'Comp. ORSE com insumos SINAPI'!G394</f>
        <v>40.740160000000003</v>
      </c>
      <c r="G320" s="208">
        <f t="shared" si="16"/>
        <v>244.44</v>
      </c>
    </row>
    <row r="321" spans="1:11" s="204" customFormat="1" ht="18" customHeight="1">
      <c r="A321" s="120" t="s">
        <v>1044</v>
      </c>
      <c r="B321" s="118" t="s">
        <v>564</v>
      </c>
      <c r="C321" s="119" t="s">
        <v>210</v>
      </c>
      <c r="D321" s="206" t="s">
        <v>10</v>
      </c>
      <c r="E321" s="252">
        <f>'Memória Civil'!P533</f>
        <v>4</v>
      </c>
      <c r="F321" s="217">
        <f>'Comp. ORSE com insumos SINAPI'!G400</f>
        <v>44.283000000000001</v>
      </c>
      <c r="G321" s="208">
        <f t="shared" si="16"/>
        <v>177.13</v>
      </c>
    </row>
    <row r="322" spans="1:11" s="204" customFormat="1" ht="15.75" customHeight="1">
      <c r="A322" s="120" t="s">
        <v>1045</v>
      </c>
      <c r="B322" s="118" t="s">
        <v>568</v>
      </c>
      <c r="C322" s="119" t="s">
        <v>211</v>
      </c>
      <c r="D322" s="206" t="s">
        <v>10</v>
      </c>
      <c r="E322" s="252">
        <f>'Memória Civil'!P539</f>
        <v>4</v>
      </c>
      <c r="F322" s="217">
        <f>'Comp. ORSE com insumos SINAPI'!G407</f>
        <v>56.484999999999999</v>
      </c>
      <c r="G322" s="208">
        <f t="shared" si="16"/>
        <v>225.94</v>
      </c>
    </row>
    <row r="323" spans="1:11" s="204" customFormat="1" ht="15.75" customHeight="1">
      <c r="A323" s="120" t="s">
        <v>1046</v>
      </c>
      <c r="B323" s="320" t="s">
        <v>171</v>
      </c>
      <c r="C323" s="321" t="s">
        <v>173</v>
      </c>
      <c r="D323" s="206" t="s">
        <v>10</v>
      </c>
      <c r="E323" s="252">
        <f>'Memória Civil'!P545</f>
        <v>5</v>
      </c>
      <c r="F323" s="217">
        <f>'Comp. ORSE com insumos SINAPI'!G416</f>
        <v>257.88</v>
      </c>
      <c r="G323" s="208">
        <f t="shared" si="16"/>
        <v>1289.4000000000001</v>
      </c>
    </row>
    <row r="324" spans="1:11" s="204" customFormat="1" ht="24" customHeight="1">
      <c r="A324" s="120" t="s">
        <v>1047</v>
      </c>
      <c r="B324" s="307" t="s">
        <v>169</v>
      </c>
      <c r="C324" s="142" t="s">
        <v>168</v>
      </c>
      <c r="D324" s="206" t="s">
        <v>10</v>
      </c>
      <c r="E324" s="252">
        <f>'Memória Civil'!P550</f>
        <v>5</v>
      </c>
      <c r="F324" s="217">
        <f>'Comp. ORSE com insumos SINAPI'!G424</f>
        <v>4.5620000000000003</v>
      </c>
      <c r="G324" s="208">
        <f t="shared" si="16"/>
        <v>22.81</v>
      </c>
    </row>
    <row r="325" spans="1:11" s="204" customFormat="1" ht="25.5">
      <c r="A325" s="120" t="s">
        <v>1048</v>
      </c>
      <c r="B325" s="118" t="s">
        <v>582</v>
      </c>
      <c r="C325" s="119" t="s">
        <v>404</v>
      </c>
      <c r="D325" s="206" t="s">
        <v>10</v>
      </c>
      <c r="E325" s="252">
        <f>'Memória Civil'!P556</f>
        <v>5</v>
      </c>
      <c r="F325" s="217">
        <v>4.83</v>
      </c>
      <c r="G325" s="208">
        <f t="shared" si="16"/>
        <v>24.15</v>
      </c>
    </row>
    <row r="326" spans="1:11" s="204" customFormat="1" ht="21" customHeight="1">
      <c r="A326" s="120" t="s">
        <v>1049</v>
      </c>
      <c r="B326" s="118" t="s">
        <v>139</v>
      </c>
      <c r="C326" s="119" t="s">
        <v>172</v>
      </c>
      <c r="D326" s="206" t="s">
        <v>10</v>
      </c>
      <c r="E326" s="252">
        <f>'Memória Civil'!P562</f>
        <v>6</v>
      </c>
      <c r="F326" s="217">
        <f>'Comp. ORSE com insumos SINAPI'!G432</f>
        <v>236.14400000000001</v>
      </c>
      <c r="G326" s="208">
        <f t="shared" si="16"/>
        <v>1416.86</v>
      </c>
    </row>
    <row r="327" spans="1:11" s="85" customFormat="1">
      <c r="A327" s="49" t="s">
        <v>661</v>
      </c>
      <c r="B327" s="50"/>
      <c r="C327" s="214" t="s">
        <v>26</v>
      </c>
      <c r="D327" s="94"/>
      <c r="E327" s="253"/>
      <c r="F327" s="93"/>
      <c r="G327" s="92">
        <f>ROUND(SUM(G328:G334),2)</f>
        <v>48551.66</v>
      </c>
    </row>
    <row r="328" spans="1:11" s="204" customFormat="1" ht="19.5" customHeight="1">
      <c r="A328" s="205" t="s">
        <v>62</v>
      </c>
      <c r="B328" s="118" t="s">
        <v>925</v>
      </c>
      <c r="C328" s="119" t="s">
        <v>170</v>
      </c>
      <c r="D328" s="206" t="s">
        <v>9</v>
      </c>
      <c r="E328" s="252">
        <f>'Memória Civil'!P570</f>
        <v>810</v>
      </c>
      <c r="F328" s="217">
        <v>1.82</v>
      </c>
      <c r="G328" s="208">
        <f t="shared" ref="G328:G334" si="17">ROUND(E328*F328,2)</f>
        <v>1474.2</v>
      </c>
    </row>
    <row r="329" spans="1:11" s="204" customFormat="1" ht="19.5" customHeight="1">
      <c r="A329" s="205" t="s">
        <v>64</v>
      </c>
      <c r="B329" s="118" t="s">
        <v>924</v>
      </c>
      <c r="C329" s="119" t="s">
        <v>926</v>
      </c>
      <c r="D329" s="206" t="s">
        <v>9</v>
      </c>
      <c r="E329" s="252">
        <f>'Memória Civil'!P574</f>
        <v>6</v>
      </c>
      <c r="F329" s="217">
        <v>309.47000000000003</v>
      </c>
      <c r="G329" s="208">
        <f t="shared" si="17"/>
        <v>1856.82</v>
      </c>
    </row>
    <row r="330" spans="1:11" s="204" customFormat="1" ht="25.5">
      <c r="A330" s="205" t="s">
        <v>155</v>
      </c>
      <c r="B330" s="118" t="s">
        <v>927</v>
      </c>
      <c r="C330" s="119" t="s">
        <v>928</v>
      </c>
      <c r="D330" s="206" t="s">
        <v>9</v>
      </c>
      <c r="E330" s="252">
        <f>'Memória Civil'!P578</f>
        <v>120</v>
      </c>
      <c r="F330" s="217">
        <v>115.25</v>
      </c>
      <c r="G330" s="208">
        <f t="shared" si="17"/>
        <v>13830</v>
      </c>
    </row>
    <row r="331" spans="1:11" s="204" customFormat="1" ht="22.5" customHeight="1">
      <c r="A331" s="205" t="s">
        <v>156</v>
      </c>
      <c r="B331" s="118" t="s">
        <v>937</v>
      </c>
      <c r="C331" s="119" t="s">
        <v>936</v>
      </c>
      <c r="D331" s="206" t="s">
        <v>9</v>
      </c>
      <c r="E331" s="252">
        <f>'Memória Civil'!P582</f>
        <v>341</v>
      </c>
      <c r="F331" s="217">
        <v>43.61</v>
      </c>
      <c r="G331" s="208">
        <f t="shared" si="17"/>
        <v>14871.01</v>
      </c>
    </row>
    <row r="332" spans="1:11" s="204" customFormat="1" ht="21" customHeight="1">
      <c r="A332" s="205" t="s">
        <v>452</v>
      </c>
      <c r="B332" s="118" t="s">
        <v>939</v>
      </c>
      <c r="C332" s="119" t="s">
        <v>948</v>
      </c>
      <c r="D332" s="206" t="s">
        <v>11</v>
      </c>
      <c r="E332" s="252">
        <f>'Memória Civil'!P586</f>
        <v>134</v>
      </c>
      <c r="F332" s="217">
        <f>'Comp. ORSE com insumos SINAPI'!G444</f>
        <v>97.292900000000003</v>
      </c>
      <c r="G332" s="208">
        <f t="shared" si="17"/>
        <v>13037.25</v>
      </c>
    </row>
    <row r="333" spans="1:11" s="204" customFormat="1" ht="18" customHeight="1">
      <c r="A333" s="205" t="s">
        <v>157</v>
      </c>
      <c r="B333" s="118" t="s">
        <v>500</v>
      </c>
      <c r="C333" s="119" t="s">
        <v>116</v>
      </c>
      <c r="D333" s="206" t="s">
        <v>9</v>
      </c>
      <c r="E333" s="252">
        <f>'Memória Civil'!P591</f>
        <v>100</v>
      </c>
      <c r="F333" s="217">
        <f>'Comp. ORSE com insumos SINAPI'!G455</f>
        <v>13.0017</v>
      </c>
      <c r="G333" s="208">
        <f t="shared" si="17"/>
        <v>1300.17</v>
      </c>
    </row>
    <row r="334" spans="1:11" s="204" customFormat="1" ht="18" customHeight="1">
      <c r="A334" s="205" t="s">
        <v>158</v>
      </c>
      <c r="B334" s="118" t="s">
        <v>1064</v>
      </c>
      <c r="C334" s="119" t="s">
        <v>1063</v>
      </c>
      <c r="D334" s="206" t="s">
        <v>61</v>
      </c>
      <c r="E334" s="252">
        <f>'Memória Civil'!P596</f>
        <v>146.45700000000002</v>
      </c>
      <c r="F334" s="217">
        <v>14.9</v>
      </c>
      <c r="G334" s="208">
        <f t="shared" si="17"/>
        <v>2182.21</v>
      </c>
    </row>
    <row r="335" spans="1:11" s="85" customFormat="1">
      <c r="A335" s="49" t="s">
        <v>197</v>
      </c>
      <c r="B335" s="50"/>
      <c r="C335" s="214" t="s">
        <v>1050</v>
      </c>
      <c r="D335" s="94"/>
      <c r="E335" s="253"/>
      <c r="F335" s="93"/>
      <c r="G335" s="92">
        <f>ROUND(SUM(G336:G336),2)</f>
        <v>100027.2</v>
      </c>
    </row>
    <row r="336" spans="1:11" ht="17.25" customHeight="1">
      <c r="A336" s="37" t="s">
        <v>63</v>
      </c>
      <c r="B336" s="86" t="s">
        <v>1503</v>
      </c>
      <c r="C336" s="141" t="s">
        <v>1193</v>
      </c>
      <c r="D336" s="39" t="s">
        <v>1547</v>
      </c>
      <c r="E336" s="255">
        <v>8</v>
      </c>
      <c r="F336" s="434">
        <v>12503.4</v>
      </c>
      <c r="G336" s="40">
        <f>ROUND(E336*F336,2)</f>
        <v>100027.2</v>
      </c>
      <c r="J336" s="62"/>
      <c r="K336" s="63"/>
    </row>
    <row r="337" spans="1:8" s="68" customFormat="1">
      <c r="A337" s="49"/>
      <c r="B337" s="50"/>
      <c r="C337" s="214" t="s">
        <v>18</v>
      </c>
      <c r="D337" s="65"/>
      <c r="E337" s="258"/>
      <c r="F337" s="66"/>
      <c r="G337" s="100">
        <f>G13+G27+G33+G44+G87+G92+G97+G103+G110+G112+G114+G123+G132+G179+G241+G258+G268+G294+G297+G310+G327+G335</f>
        <v>1756170.92</v>
      </c>
      <c r="H337" s="67"/>
    </row>
    <row r="338" spans="1:8" s="68" customFormat="1">
      <c r="A338" s="49"/>
      <c r="B338" s="50"/>
      <c r="C338" s="366" t="s">
        <v>446</v>
      </c>
      <c r="D338" s="89"/>
      <c r="E338" s="259"/>
      <c r="F338" s="90">
        <v>0.25219999999999998</v>
      </c>
      <c r="G338" s="91">
        <f>G337*F338</f>
        <v>442906.30602399993</v>
      </c>
      <c r="H338" s="67"/>
    </row>
    <row r="339" spans="1:8" s="85" customFormat="1" ht="13.5" thickBot="1">
      <c r="A339" s="69"/>
      <c r="B339" s="70"/>
      <c r="C339" s="215" t="s">
        <v>19</v>
      </c>
      <c r="D339" s="71"/>
      <c r="E339" s="260"/>
      <c r="F339" s="72"/>
      <c r="G339" s="73">
        <f>ROUND(G337+G338,2)</f>
        <v>2199077.23</v>
      </c>
      <c r="H339" s="67"/>
    </row>
    <row r="340" spans="1:8" ht="24" customHeight="1">
      <c r="A340" s="540"/>
      <c r="B340" s="540"/>
      <c r="C340" s="540"/>
      <c r="D340" s="540"/>
      <c r="E340" s="540"/>
      <c r="F340" s="540"/>
      <c r="G340" s="540"/>
    </row>
    <row r="341" spans="1:8">
      <c r="A341" s="541"/>
      <c r="B341" s="541"/>
      <c r="C341" s="541"/>
      <c r="D341" s="541"/>
      <c r="E341" s="261"/>
      <c r="F341" s="77"/>
      <c r="G341" s="76"/>
    </row>
    <row r="342" spans="1:8">
      <c r="A342" s="541"/>
      <c r="B342" s="541"/>
      <c r="C342" s="541"/>
      <c r="D342" s="541"/>
      <c r="E342" s="262"/>
      <c r="F342" s="78">
        <f>F336/8</f>
        <v>1562.925</v>
      </c>
      <c r="G342" s="25"/>
    </row>
    <row r="343" spans="1:8">
      <c r="A343" s="541"/>
      <c r="B343" s="541"/>
      <c r="C343" s="541"/>
      <c r="D343" s="541"/>
      <c r="E343" s="262"/>
      <c r="F343" s="78"/>
      <c r="G343" s="25"/>
    </row>
    <row r="344" spans="1:8">
      <c r="A344" s="541"/>
      <c r="B344" s="541"/>
      <c r="C344" s="541"/>
      <c r="D344" s="541"/>
      <c r="E344" s="262"/>
      <c r="F344" s="78"/>
      <c r="G344" s="25"/>
    </row>
    <row r="345" spans="1:8">
      <c r="A345" s="541"/>
      <c r="B345" s="541"/>
      <c r="C345" s="541"/>
      <c r="D345" s="541"/>
      <c r="E345" s="262"/>
      <c r="F345" s="78"/>
      <c r="G345" s="63">
        <f>G337+G338</f>
        <v>2199077.226024</v>
      </c>
    </row>
    <row r="346" spans="1:8">
      <c r="A346" s="541"/>
      <c r="B346" s="541"/>
      <c r="C346" s="541"/>
      <c r="D346" s="541"/>
      <c r="E346" s="261"/>
      <c r="F346" s="79"/>
      <c r="G346" s="80"/>
    </row>
    <row r="347" spans="1:8">
      <c r="A347" s="541"/>
      <c r="B347" s="541"/>
      <c r="C347" s="541"/>
      <c r="D347" s="541"/>
      <c r="E347" s="261"/>
      <c r="F347" s="77"/>
      <c r="G347" s="76"/>
    </row>
    <row r="348" spans="1:8">
      <c r="E348" s="76"/>
      <c r="F348" s="77"/>
      <c r="G348" s="76"/>
    </row>
    <row r="349" spans="1:8">
      <c r="E349" s="76"/>
      <c r="F349" s="77"/>
      <c r="G349" s="76"/>
    </row>
    <row r="350" spans="1:8">
      <c r="E350" s="76"/>
      <c r="F350" s="77"/>
      <c r="G350" s="76"/>
    </row>
    <row r="351" spans="1:8">
      <c r="E351" s="76"/>
      <c r="F351" s="77"/>
      <c r="G351" s="76"/>
    </row>
    <row r="352" spans="1:8">
      <c r="E352" s="76"/>
      <c r="F352" s="77"/>
      <c r="G352" s="76"/>
    </row>
    <row r="353" spans="1:7">
      <c r="E353" s="76"/>
      <c r="F353" s="77"/>
      <c r="G353" s="76"/>
    </row>
    <row r="354" spans="1:7">
      <c r="E354" s="76"/>
      <c r="F354" s="77"/>
      <c r="G354" s="76"/>
    </row>
    <row r="355" spans="1:7">
      <c r="E355" s="76"/>
      <c r="F355" s="77"/>
      <c r="G355" s="76"/>
    </row>
    <row r="356" spans="1:7">
      <c r="E356" s="76"/>
      <c r="F356" s="77"/>
      <c r="G356" s="76"/>
    </row>
    <row r="357" spans="1:7">
      <c r="E357" s="76"/>
      <c r="F357" s="77"/>
      <c r="G357" s="76"/>
    </row>
    <row r="358" spans="1:7">
      <c r="E358" s="76"/>
      <c r="F358" s="77"/>
      <c r="G358" s="76"/>
    </row>
    <row r="359" spans="1:7">
      <c r="E359" s="76"/>
      <c r="F359" s="77"/>
      <c r="G359" s="76"/>
    </row>
    <row r="360" spans="1:7">
      <c r="E360" s="76"/>
      <c r="F360" s="77"/>
      <c r="G360" s="76"/>
    </row>
    <row r="361" spans="1:7">
      <c r="E361" s="76"/>
      <c r="F361" s="77"/>
      <c r="G361" s="81"/>
    </row>
    <row r="362" spans="1:7">
      <c r="A362" s="45"/>
      <c r="B362" s="107"/>
      <c r="D362" s="107"/>
      <c r="E362" s="262"/>
      <c r="F362" s="78"/>
      <c r="G362" s="76"/>
    </row>
    <row r="363" spans="1:7">
      <c r="A363" s="45"/>
      <c r="B363" s="107"/>
      <c r="D363" s="107"/>
      <c r="E363" s="262"/>
      <c r="F363" s="78"/>
      <c r="G363" s="76"/>
    </row>
    <row r="364" spans="1:7">
      <c r="E364" s="76"/>
      <c r="F364" s="77"/>
      <c r="G364" s="76"/>
    </row>
    <row r="365" spans="1:7">
      <c r="E365" s="76"/>
      <c r="F365" s="77"/>
      <c r="G365" s="76"/>
    </row>
    <row r="366" spans="1:7">
      <c r="E366" s="76"/>
      <c r="F366" s="77"/>
      <c r="G366" s="76"/>
    </row>
    <row r="367" spans="1:7">
      <c r="E367" s="76"/>
      <c r="F367" s="77"/>
      <c r="G367" s="76"/>
    </row>
    <row r="368" spans="1:7">
      <c r="E368" s="76"/>
      <c r="F368" s="77"/>
      <c r="G368" s="76"/>
    </row>
    <row r="369" spans="1:7">
      <c r="A369" s="45"/>
      <c r="B369" s="107"/>
      <c r="D369" s="107"/>
      <c r="E369" s="76"/>
      <c r="F369" s="77"/>
      <c r="G369" s="76"/>
    </row>
    <row r="370" spans="1:7">
      <c r="A370" s="45"/>
      <c r="B370" s="107"/>
      <c r="D370" s="107"/>
      <c r="E370" s="76"/>
      <c r="F370" s="77"/>
      <c r="G370" s="76"/>
    </row>
    <row r="371" spans="1:7">
      <c r="A371" s="45"/>
      <c r="B371" s="107"/>
      <c r="D371" s="107"/>
      <c r="E371" s="76"/>
      <c r="F371" s="77"/>
      <c r="G371" s="76"/>
    </row>
    <row r="372" spans="1:7">
      <c r="A372" s="45"/>
      <c r="B372" s="107"/>
      <c r="D372" s="107"/>
      <c r="E372" s="76"/>
      <c r="F372" s="77"/>
      <c r="G372" s="76"/>
    </row>
    <row r="373" spans="1:7">
      <c r="A373" s="45"/>
      <c r="B373" s="107"/>
      <c r="D373" s="107"/>
      <c r="E373" s="76"/>
      <c r="F373" s="77"/>
      <c r="G373" s="76"/>
    </row>
    <row r="374" spans="1:7">
      <c r="A374" s="45"/>
      <c r="B374" s="107"/>
      <c r="D374" s="107"/>
      <c r="E374" s="76"/>
      <c r="F374" s="77"/>
      <c r="G374" s="76"/>
    </row>
    <row r="375" spans="1:7">
      <c r="A375" s="45"/>
      <c r="B375" s="107"/>
      <c r="D375" s="107"/>
      <c r="E375" s="76"/>
      <c r="F375" s="77"/>
      <c r="G375" s="76"/>
    </row>
    <row r="376" spans="1:7">
      <c r="A376" s="45"/>
      <c r="B376" s="107"/>
      <c r="D376" s="107"/>
      <c r="E376" s="76"/>
      <c r="F376" s="77"/>
      <c r="G376" s="76"/>
    </row>
    <row r="377" spans="1:7">
      <c r="A377" s="45"/>
      <c r="B377" s="107"/>
      <c r="D377" s="107"/>
      <c r="E377" s="76"/>
      <c r="F377" s="77"/>
      <c r="G377" s="76"/>
    </row>
    <row r="378" spans="1:7">
      <c r="A378" s="45"/>
      <c r="B378" s="107"/>
      <c r="D378" s="107"/>
      <c r="E378" s="76"/>
      <c r="F378" s="77"/>
      <c r="G378" s="76"/>
    </row>
    <row r="379" spans="1:7">
      <c r="A379" s="45"/>
      <c r="B379" s="107"/>
      <c r="D379" s="107"/>
      <c r="E379" s="76"/>
      <c r="F379" s="77"/>
      <c r="G379" s="76"/>
    </row>
    <row r="380" spans="1:7">
      <c r="A380" s="45"/>
      <c r="B380" s="107"/>
      <c r="D380" s="107"/>
      <c r="E380" s="76"/>
      <c r="F380" s="77"/>
      <c r="G380" s="76"/>
    </row>
    <row r="381" spans="1:7">
      <c r="A381" s="45"/>
      <c r="B381" s="107"/>
      <c r="D381" s="107"/>
      <c r="E381" s="76"/>
      <c r="F381" s="77"/>
      <c r="G381" s="76"/>
    </row>
    <row r="382" spans="1:7">
      <c r="A382" s="45"/>
      <c r="B382" s="107"/>
      <c r="D382" s="107"/>
      <c r="E382" s="76"/>
      <c r="F382" s="77"/>
      <c r="G382" s="76"/>
    </row>
    <row r="383" spans="1:7">
      <c r="A383" s="45"/>
      <c r="B383" s="107"/>
      <c r="D383" s="107"/>
      <c r="E383" s="76"/>
      <c r="F383" s="77"/>
      <c r="G383" s="76"/>
    </row>
    <row r="384" spans="1:7">
      <c r="A384" s="45"/>
      <c r="B384" s="107"/>
      <c r="D384" s="107"/>
      <c r="E384" s="76"/>
      <c r="F384" s="77"/>
      <c r="G384" s="76"/>
    </row>
    <row r="385" spans="1:7">
      <c r="A385" s="45"/>
      <c r="B385" s="107"/>
      <c r="D385" s="107"/>
      <c r="E385" s="76"/>
      <c r="F385" s="77"/>
      <c r="G385" s="76"/>
    </row>
    <row r="386" spans="1:7">
      <c r="A386" s="45"/>
      <c r="B386" s="107"/>
      <c r="D386" s="107"/>
      <c r="E386" s="76"/>
      <c r="F386" s="77"/>
      <c r="G386" s="76"/>
    </row>
    <row r="387" spans="1:7">
      <c r="A387" s="45"/>
      <c r="B387" s="107"/>
      <c r="D387" s="107"/>
      <c r="E387" s="76"/>
      <c r="F387" s="77"/>
      <c r="G387" s="76"/>
    </row>
    <row r="388" spans="1:7">
      <c r="A388" s="45"/>
      <c r="B388" s="107"/>
      <c r="D388" s="107"/>
      <c r="E388" s="76"/>
      <c r="F388" s="77"/>
      <c r="G388" s="76"/>
    </row>
    <row r="389" spans="1:7">
      <c r="A389" s="45"/>
      <c r="B389" s="107"/>
      <c r="D389" s="107"/>
      <c r="E389" s="76"/>
      <c r="F389" s="77"/>
      <c r="G389" s="76"/>
    </row>
    <row r="390" spans="1:7">
      <c r="A390" s="45"/>
      <c r="B390" s="107"/>
      <c r="D390" s="107"/>
      <c r="E390" s="76"/>
      <c r="F390" s="77"/>
      <c r="G390" s="76"/>
    </row>
    <row r="391" spans="1:7">
      <c r="A391" s="45"/>
      <c r="B391" s="107"/>
      <c r="D391" s="107"/>
      <c r="E391" s="76"/>
      <c r="F391" s="77"/>
      <c r="G391" s="76"/>
    </row>
    <row r="392" spans="1:7">
      <c r="A392" s="45"/>
      <c r="B392" s="107"/>
      <c r="D392" s="107"/>
      <c r="E392" s="76"/>
      <c r="F392" s="77"/>
      <c r="G392" s="76"/>
    </row>
    <row r="393" spans="1:7">
      <c r="A393" s="45"/>
      <c r="B393" s="107"/>
      <c r="D393" s="107"/>
      <c r="E393" s="76"/>
      <c r="F393" s="77"/>
      <c r="G393" s="76"/>
    </row>
    <row r="394" spans="1:7">
      <c r="A394" s="45"/>
      <c r="B394" s="107"/>
      <c r="D394" s="107"/>
      <c r="E394" s="76"/>
      <c r="F394" s="77"/>
      <c r="G394" s="76"/>
    </row>
    <row r="395" spans="1:7">
      <c r="A395" s="45"/>
      <c r="B395" s="107"/>
      <c r="D395" s="107"/>
      <c r="E395" s="76"/>
      <c r="F395" s="77"/>
      <c r="G395" s="76"/>
    </row>
    <row r="396" spans="1:7">
      <c r="A396" s="45"/>
      <c r="B396" s="107"/>
      <c r="D396" s="107"/>
      <c r="E396" s="76"/>
      <c r="F396" s="77"/>
      <c r="G396" s="76"/>
    </row>
    <row r="397" spans="1:7">
      <c r="A397" s="45"/>
      <c r="B397" s="107"/>
      <c r="D397" s="107"/>
      <c r="E397" s="76"/>
      <c r="F397" s="77"/>
      <c r="G397" s="76"/>
    </row>
    <row r="398" spans="1:7">
      <c r="A398" s="45"/>
      <c r="B398" s="107"/>
      <c r="D398" s="107"/>
      <c r="E398" s="76"/>
      <c r="F398" s="77"/>
      <c r="G398" s="76"/>
    </row>
    <row r="399" spans="1:7">
      <c r="A399" s="45"/>
      <c r="B399" s="107"/>
      <c r="D399" s="107"/>
      <c r="E399" s="76"/>
      <c r="F399" s="77"/>
      <c r="G399" s="76"/>
    </row>
    <row r="400" spans="1:7">
      <c r="A400" s="45"/>
      <c r="B400" s="107"/>
      <c r="D400" s="107"/>
      <c r="E400" s="76"/>
      <c r="F400" s="77"/>
      <c r="G400" s="76"/>
    </row>
    <row r="401" spans="1:7">
      <c r="A401" s="45"/>
      <c r="B401" s="107"/>
      <c r="D401" s="107"/>
      <c r="E401" s="76"/>
      <c r="F401" s="77"/>
      <c r="G401" s="76"/>
    </row>
    <row r="402" spans="1:7">
      <c r="A402" s="45"/>
      <c r="B402" s="107"/>
      <c r="D402" s="107"/>
      <c r="E402" s="76"/>
      <c r="F402" s="77"/>
      <c r="G402" s="76"/>
    </row>
    <row r="403" spans="1:7">
      <c r="A403" s="45"/>
      <c r="B403" s="107"/>
      <c r="D403" s="107"/>
      <c r="E403" s="76"/>
      <c r="F403" s="77"/>
      <c r="G403" s="76"/>
    </row>
    <row r="404" spans="1:7">
      <c r="A404" s="45"/>
      <c r="B404" s="107"/>
      <c r="D404" s="107"/>
      <c r="E404" s="76"/>
      <c r="F404" s="77"/>
      <c r="G404" s="76"/>
    </row>
    <row r="405" spans="1:7">
      <c r="A405" s="45"/>
      <c r="B405" s="107"/>
      <c r="D405" s="107"/>
      <c r="E405" s="76"/>
      <c r="F405" s="77"/>
      <c r="G405" s="76"/>
    </row>
    <row r="406" spans="1:7">
      <c r="A406" s="45"/>
      <c r="B406" s="107"/>
      <c r="D406" s="107"/>
      <c r="E406" s="76"/>
      <c r="F406" s="77"/>
      <c r="G406" s="76"/>
    </row>
    <row r="407" spans="1:7">
      <c r="A407" s="45"/>
      <c r="B407" s="107"/>
      <c r="D407" s="107"/>
      <c r="E407" s="76"/>
      <c r="F407" s="77"/>
      <c r="G407" s="76"/>
    </row>
    <row r="408" spans="1:7">
      <c r="A408" s="45"/>
      <c r="B408" s="107"/>
      <c r="D408" s="107"/>
      <c r="E408" s="76"/>
      <c r="F408" s="77"/>
      <c r="G408" s="76"/>
    </row>
    <row r="409" spans="1:7">
      <c r="A409" s="45"/>
      <c r="B409" s="107"/>
      <c r="D409" s="107"/>
      <c r="E409" s="76"/>
      <c r="F409" s="77"/>
      <c r="G409" s="76"/>
    </row>
    <row r="410" spans="1:7">
      <c r="A410" s="45"/>
      <c r="B410" s="107"/>
      <c r="D410" s="107"/>
      <c r="E410" s="76"/>
      <c r="F410" s="77"/>
      <c r="G410" s="76"/>
    </row>
    <row r="411" spans="1:7">
      <c r="A411" s="45"/>
      <c r="B411" s="107"/>
      <c r="D411" s="107"/>
      <c r="E411" s="76"/>
      <c r="F411" s="77"/>
      <c r="G411" s="76"/>
    </row>
    <row r="412" spans="1:7">
      <c r="A412" s="45"/>
      <c r="B412" s="107"/>
      <c r="D412" s="107"/>
      <c r="E412" s="76"/>
      <c r="F412" s="77"/>
      <c r="G412" s="76"/>
    </row>
    <row r="413" spans="1:7">
      <c r="A413" s="45"/>
      <c r="B413" s="107"/>
      <c r="D413" s="107"/>
      <c r="E413" s="76"/>
      <c r="F413" s="77"/>
      <c r="G413" s="76"/>
    </row>
    <row r="414" spans="1:7">
      <c r="A414" s="45"/>
      <c r="B414" s="107"/>
      <c r="D414" s="107"/>
      <c r="E414" s="76"/>
      <c r="F414" s="77"/>
      <c r="G414" s="76"/>
    </row>
    <row r="415" spans="1:7">
      <c r="A415" s="45"/>
      <c r="B415" s="107"/>
      <c r="D415" s="107"/>
      <c r="E415" s="76"/>
      <c r="F415" s="77"/>
      <c r="G415" s="76"/>
    </row>
    <row r="416" spans="1:7">
      <c r="A416" s="45"/>
      <c r="B416" s="107"/>
      <c r="D416" s="107"/>
      <c r="E416" s="76"/>
      <c r="F416" s="77"/>
      <c r="G416" s="76"/>
    </row>
    <row r="417" spans="1:7">
      <c r="A417" s="45"/>
      <c r="B417" s="107"/>
      <c r="D417" s="107"/>
      <c r="E417" s="76"/>
      <c r="F417" s="77"/>
      <c r="G417" s="76"/>
    </row>
    <row r="418" spans="1:7">
      <c r="A418" s="45"/>
      <c r="B418" s="107"/>
      <c r="D418" s="107"/>
      <c r="E418" s="76"/>
      <c r="F418" s="77"/>
      <c r="G418" s="76"/>
    </row>
    <row r="419" spans="1:7">
      <c r="A419" s="45"/>
      <c r="B419" s="107"/>
      <c r="D419" s="107"/>
      <c r="E419" s="76"/>
      <c r="F419" s="77"/>
      <c r="G419" s="76"/>
    </row>
    <row r="420" spans="1:7">
      <c r="A420" s="45"/>
      <c r="B420" s="107"/>
      <c r="D420" s="107"/>
      <c r="E420" s="76"/>
      <c r="F420" s="77"/>
      <c r="G420" s="76"/>
    </row>
    <row r="421" spans="1:7">
      <c r="A421" s="45"/>
      <c r="B421" s="107"/>
      <c r="D421" s="107"/>
      <c r="E421" s="76"/>
      <c r="F421" s="77"/>
      <c r="G421" s="76"/>
    </row>
    <row r="422" spans="1:7">
      <c r="A422" s="45"/>
      <c r="B422" s="107"/>
      <c r="D422" s="107"/>
      <c r="E422" s="76"/>
      <c r="F422" s="77"/>
      <c r="G422" s="76"/>
    </row>
    <row r="423" spans="1:7">
      <c r="A423" s="45"/>
      <c r="B423" s="107"/>
      <c r="D423" s="107"/>
      <c r="E423" s="76"/>
      <c r="F423" s="77"/>
      <c r="G423" s="76"/>
    </row>
    <row r="424" spans="1:7">
      <c r="A424" s="45"/>
      <c r="B424" s="107"/>
      <c r="D424" s="107"/>
      <c r="E424" s="76"/>
      <c r="F424" s="77"/>
      <c r="G424" s="76"/>
    </row>
    <row r="425" spans="1:7">
      <c r="A425" s="45"/>
      <c r="B425" s="107"/>
      <c r="D425" s="107"/>
      <c r="E425" s="76"/>
      <c r="F425" s="77"/>
      <c r="G425" s="76"/>
    </row>
    <row r="426" spans="1:7">
      <c r="A426" s="45"/>
      <c r="B426" s="107"/>
      <c r="D426" s="107"/>
      <c r="E426" s="76"/>
      <c r="F426" s="77"/>
      <c r="G426" s="76"/>
    </row>
    <row r="427" spans="1:7">
      <c r="A427" s="45"/>
      <c r="B427" s="107"/>
      <c r="D427" s="107"/>
      <c r="E427" s="76"/>
      <c r="F427" s="77"/>
      <c r="G427" s="76"/>
    </row>
    <row r="428" spans="1:7">
      <c r="A428" s="45"/>
      <c r="B428" s="107"/>
      <c r="D428" s="107"/>
      <c r="E428" s="76"/>
      <c r="F428" s="77"/>
      <c r="G428" s="76"/>
    </row>
    <row r="429" spans="1:7">
      <c r="A429" s="45"/>
      <c r="B429" s="107"/>
      <c r="D429" s="107"/>
      <c r="E429" s="76"/>
      <c r="F429" s="77"/>
      <c r="G429" s="76"/>
    </row>
    <row r="430" spans="1:7">
      <c r="A430" s="45"/>
      <c r="B430" s="107"/>
      <c r="D430" s="107"/>
      <c r="E430" s="76"/>
      <c r="F430" s="77"/>
      <c r="G430" s="76"/>
    </row>
    <row r="431" spans="1:7">
      <c r="A431" s="45"/>
      <c r="B431" s="107"/>
      <c r="D431" s="107"/>
      <c r="E431" s="76"/>
      <c r="F431" s="77"/>
      <c r="G431" s="76"/>
    </row>
    <row r="432" spans="1:7">
      <c r="A432" s="45"/>
      <c r="B432" s="107"/>
      <c r="D432" s="107"/>
      <c r="E432" s="76"/>
      <c r="F432" s="77"/>
      <c r="G432" s="76"/>
    </row>
    <row r="433" spans="1:7">
      <c r="A433" s="45"/>
      <c r="B433" s="107"/>
      <c r="D433" s="107"/>
      <c r="E433" s="76"/>
      <c r="F433" s="77"/>
      <c r="G433" s="76"/>
    </row>
    <row r="434" spans="1:7">
      <c r="A434" s="45"/>
      <c r="B434" s="107"/>
      <c r="D434" s="107"/>
      <c r="E434" s="76"/>
      <c r="F434" s="77"/>
      <c r="G434" s="76"/>
    </row>
    <row r="435" spans="1:7">
      <c r="A435" s="45"/>
      <c r="B435" s="107"/>
      <c r="D435" s="107"/>
      <c r="E435" s="76"/>
      <c r="F435" s="77"/>
      <c r="G435" s="76"/>
    </row>
    <row r="436" spans="1:7">
      <c r="A436" s="45"/>
      <c r="B436" s="107"/>
      <c r="D436" s="107"/>
      <c r="E436" s="76"/>
      <c r="F436" s="77"/>
      <c r="G436" s="76"/>
    </row>
    <row r="437" spans="1:7">
      <c r="A437" s="45"/>
      <c r="B437" s="107"/>
      <c r="D437" s="107"/>
      <c r="E437" s="76"/>
      <c r="F437" s="77"/>
      <c r="G437" s="76"/>
    </row>
    <row r="438" spans="1:7">
      <c r="A438" s="45"/>
      <c r="B438" s="107"/>
      <c r="D438" s="107"/>
      <c r="E438" s="76"/>
      <c r="F438" s="77"/>
      <c r="G438" s="76"/>
    </row>
    <row r="439" spans="1:7">
      <c r="A439" s="45"/>
      <c r="B439" s="107"/>
      <c r="D439" s="107"/>
      <c r="E439" s="76"/>
      <c r="F439" s="77"/>
      <c r="G439" s="76"/>
    </row>
    <row r="440" spans="1:7">
      <c r="A440" s="45"/>
      <c r="B440" s="107"/>
      <c r="D440" s="107"/>
      <c r="E440" s="76"/>
      <c r="F440" s="77"/>
      <c r="G440" s="76"/>
    </row>
    <row r="441" spans="1:7">
      <c r="A441" s="45"/>
      <c r="B441" s="107"/>
      <c r="D441" s="107"/>
      <c r="E441" s="76"/>
      <c r="F441" s="77"/>
      <c r="G441" s="76"/>
    </row>
    <row r="442" spans="1:7">
      <c r="A442" s="45"/>
      <c r="B442" s="107"/>
      <c r="D442" s="107"/>
      <c r="E442" s="76"/>
      <c r="F442" s="77"/>
      <c r="G442" s="76"/>
    </row>
  </sheetData>
  <mergeCells count="17">
    <mergeCell ref="A9:G9"/>
    <mergeCell ref="A11:A12"/>
    <mergeCell ref="D11:D12"/>
    <mergeCell ref="F11:F12"/>
    <mergeCell ref="E11:E12"/>
    <mergeCell ref="C11:C12"/>
    <mergeCell ref="A10:F10"/>
    <mergeCell ref="A340:G340"/>
    <mergeCell ref="A346:D346"/>
    <mergeCell ref="A347:D347"/>
    <mergeCell ref="B11:B12"/>
    <mergeCell ref="A341:D341"/>
    <mergeCell ref="A342:D342"/>
    <mergeCell ref="A343:D343"/>
    <mergeCell ref="A344:D344"/>
    <mergeCell ref="A345:D345"/>
    <mergeCell ref="G11:G12"/>
  </mergeCells>
  <phoneticPr fontId="6" type="noConversion"/>
  <hyperlinks>
    <hyperlink ref="F261" r:id="rId1" display="http://187.17.2.135/orse/composicao.asp?font_sg_fonte=ORSE&amp;serv_nr_codigo=11308&amp;peri_nr_ano=2018&amp;peri_nr_mes=9&amp;peri_nr_ordem=1"/>
    <hyperlink ref="B333" r:id="rId2" display="http://187.17.2.135/orse/composicao.asp?font_sg_fonte=ORSE&amp;serv_nr_codigo=10234&amp;peri_nr_ano=2018&amp;peri_nr_mes=9&amp;peri_nr_ordem=1"/>
  </hyperlinks>
  <printOptions horizontalCentered="1"/>
  <pageMargins left="0.39370078740157483" right="0.39370078740157483" top="0.78740157480314965" bottom="0.78740157480314965" header="0.31496062992125984" footer="0.31496062992125984"/>
  <pageSetup paperSize="9" scale="40" fitToHeight="0" orientation="portrait" r:id="rId3"/>
  <headerFooter alignWithMargins="0"/>
  <colBreaks count="1" manualBreakCount="1">
    <brk id="7" max="328" man="1"/>
  </col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zoomScale="85" workbookViewId="0">
      <selection activeCell="C36" sqref="C36"/>
    </sheetView>
  </sheetViews>
  <sheetFormatPr defaultColWidth="13.7109375" defaultRowHeight="12.75"/>
  <cols>
    <col min="1" max="1" width="6.28515625" style="3" customWidth="1"/>
    <col min="2" max="2" width="68" style="1" customWidth="1"/>
    <col min="3" max="3" width="13.42578125" style="5" bestFit="1" customWidth="1"/>
    <col min="4" max="4" width="12.7109375" style="5" customWidth="1"/>
    <col min="5" max="5" width="12.7109375" style="6" customWidth="1"/>
    <col min="6" max="6" width="13.7109375" style="4" bestFit="1" customWidth="1"/>
    <col min="7" max="16384" width="13.7109375" style="1"/>
  </cols>
  <sheetData>
    <row r="1" spans="1:6">
      <c r="A1" s="102"/>
    </row>
    <row r="2" spans="1:6">
      <c r="A2" s="102" t="s">
        <v>217</v>
      </c>
    </row>
    <row r="3" spans="1:6">
      <c r="A3" s="102"/>
    </row>
    <row r="4" spans="1:6">
      <c r="A4" s="102"/>
    </row>
    <row r="7" spans="1:6" ht="33" customHeight="1"/>
    <row r="8" spans="1:6" ht="21" customHeight="1">
      <c r="A8" s="558" t="s">
        <v>203</v>
      </c>
      <c r="B8" s="559"/>
      <c r="C8" s="559"/>
      <c r="D8" s="559"/>
      <c r="E8" s="559"/>
      <c r="F8" s="560"/>
    </row>
    <row r="9" spans="1:6" ht="20.25" customHeight="1">
      <c r="A9" s="566" t="str">
        <f>'Orçamento Sintético'!A10:C10</f>
        <v>OBRA: 1ª ETAPA DA CONSTRUÇÃO DO BLOCO DE SALAS DE AULA II - CAMPUS CAJAZEIRAS</v>
      </c>
      <c r="B9" s="567"/>
      <c r="C9" s="568"/>
      <c r="D9" s="563" t="s">
        <v>447</v>
      </c>
      <c r="E9" s="564"/>
      <c r="F9" s="565"/>
    </row>
    <row r="10" spans="1:6" ht="20.25" customHeight="1">
      <c r="A10" s="13"/>
      <c r="B10" s="14"/>
      <c r="C10" s="561"/>
      <c r="D10" s="561"/>
      <c r="E10" s="561"/>
      <c r="F10" s="562"/>
    </row>
    <row r="11" spans="1:6" ht="28.5">
      <c r="A11" s="399" t="s">
        <v>0</v>
      </c>
      <c r="B11" s="400" t="s">
        <v>1</v>
      </c>
      <c r="C11" s="401" t="s">
        <v>90</v>
      </c>
      <c r="D11" s="401" t="s">
        <v>28</v>
      </c>
      <c r="E11" s="402" t="s">
        <v>216</v>
      </c>
      <c r="F11" s="401" t="s">
        <v>17</v>
      </c>
    </row>
    <row r="12" spans="1:6" ht="20.100000000000001" customHeight="1">
      <c r="A12" s="12" t="s">
        <v>68</v>
      </c>
      <c r="B12" s="21" t="str">
        <f>'Orçamento Sintético'!C13</f>
        <v>SERVICOS PRELIMINARES/TÉCNICOS</v>
      </c>
      <c r="C12" s="8">
        <f>'Orçamento Sintético'!G13</f>
        <v>23010.74</v>
      </c>
      <c r="D12" s="10">
        <f t="shared" ref="D12:D33" si="0">C12/$C$34</f>
        <v>1.3102790701032678E-2</v>
      </c>
      <c r="E12" s="8">
        <f>C12*'Orçamento Sintético'!$F$338</f>
        <v>5803.3086279999998</v>
      </c>
      <c r="F12" s="9">
        <f>C12+E12</f>
        <v>28814.048628</v>
      </c>
    </row>
    <row r="13" spans="1:6" ht="20.100000000000001" customHeight="1">
      <c r="A13" s="12" t="s">
        <v>69</v>
      </c>
      <c r="B13" s="21" t="str">
        <f>'Orçamento Sintético'!C27</f>
        <v>SERVIÇOS EM TERRA</v>
      </c>
      <c r="C13" s="8">
        <f>'Orçamento Sintético'!G27</f>
        <v>32662.720000000001</v>
      </c>
      <c r="D13" s="10">
        <f t="shared" si="0"/>
        <v>1.8598827499091034E-2</v>
      </c>
      <c r="E13" s="8">
        <f>C13*'Orçamento Sintético'!$F$338</f>
        <v>8237.5379840000005</v>
      </c>
      <c r="F13" s="9">
        <f t="shared" ref="F13:F33" si="1">C13+E13</f>
        <v>40900.257984000003</v>
      </c>
    </row>
    <row r="14" spans="1:6" ht="20.100000000000001" customHeight="1">
      <c r="A14" s="12" t="s">
        <v>70</v>
      </c>
      <c r="B14" s="21" t="str">
        <f>'Orçamento Sintético'!C33</f>
        <v>FUNDAÇÕES E SONDAGENS</v>
      </c>
      <c r="C14" s="8">
        <f>'Orçamento Sintético'!G33</f>
        <v>69065.59</v>
      </c>
      <c r="D14" s="10">
        <f t="shared" si="0"/>
        <v>3.9327373670439779E-2</v>
      </c>
      <c r="E14" s="8">
        <f>C14*'Orçamento Sintético'!$F$338</f>
        <v>17418.341797999998</v>
      </c>
      <c r="F14" s="9">
        <f t="shared" si="1"/>
        <v>86483.931797999991</v>
      </c>
    </row>
    <row r="15" spans="1:6" ht="20.100000000000001" customHeight="1">
      <c r="A15" s="12" t="s">
        <v>71</v>
      </c>
      <c r="B15" s="21" t="str">
        <f>'Orçamento Sintético'!C44</f>
        <v>SUPERESTRUTURA</v>
      </c>
      <c r="C15" s="8">
        <f>'Orçamento Sintético'!G44</f>
        <v>512496.27</v>
      </c>
      <c r="D15" s="10">
        <f t="shared" si="0"/>
        <v>0.29182596304464492</v>
      </c>
      <c r="E15" s="8">
        <f>C15*'Orçamento Sintético'!$F$338</f>
        <v>129251.55929399999</v>
      </c>
      <c r="F15" s="9">
        <f t="shared" si="1"/>
        <v>641747.82929400005</v>
      </c>
    </row>
    <row r="16" spans="1:6" ht="20.100000000000001" customHeight="1">
      <c r="A16" s="12" t="s">
        <v>72</v>
      </c>
      <c r="B16" s="21" t="str">
        <f>'Orçamento Sintético'!C87</f>
        <v>ALVENARIA E VEDAÇÕES</v>
      </c>
      <c r="C16" s="8">
        <f>'Orçamento Sintético'!G87</f>
        <v>78999.83</v>
      </c>
      <c r="D16" s="10">
        <f t="shared" si="0"/>
        <v>4.4984135143292317E-2</v>
      </c>
      <c r="E16" s="8">
        <f>C16*'Orçamento Sintético'!$F$338</f>
        <v>19923.757126</v>
      </c>
      <c r="F16" s="9">
        <f t="shared" si="1"/>
        <v>98923.587125999999</v>
      </c>
    </row>
    <row r="17" spans="1:6" ht="20.100000000000001" customHeight="1">
      <c r="A17" s="12" t="s">
        <v>73</v>
      </c>
      <c r="B17" s="21" t="str">
        <f>'Orçamento Sintético'!C92</f>
        <v>IMPERMEABILIZAÇÃO</v>
      </c>
      <c r="C17" s="8">
        <f>'Orçamento Sintético'!G92</f>
        <v>12002.83</v>
      </c>
      <c r="D17" s="10">
        <f t="shared" si="0"/>
        <v>6.834659350810797E-3</v>
      </c>
      <c r="E17" s="8">
        <f>C17*'Orçamento Sintético'!$F$338</f>
        <v>3027.1137259999996</v>
      </c>
      <c r="F17" s="9">
        <f t="shared" si="1"/>
        <v>15029.943726</v>
      </c>
    </row>
    <row r="18" spans="1:6" ht="20.100000000000001" customHeight="1">
      <c r="A18" s="12" t="s">
        <v>74</v>
      </c>
      <c r="B18" s="21" t="str">
        <f>'Orçamento Sintético'!C97</f>
        <v>COBERTURA E PROTEÇÕES</v>
      </c>
      <c r="C18" s="8">
        <f>'Orçamento Sintético'!G97</f>
        <v>91577.61</v>
      </c>
      <c r="D18" s="10">
        <f t="shared" si="0"/>
        <v>5.2146182901149508E-2</v>
      </c>
      <c r="E18" s="8">
        <f>C18*'Orçamento Sintético'!$F$338</f>
        <v>23095.873241999998</v>
      </c>
      <c r="F18" s="9">
        <f t="shared" si="1"/>
        <v>114673.483242</v>
      </c>
    </row>
    <row r="19" spans="1:6" ht="20.100000000000001" customHeight="1">
      <c r="A19" s="12" t="s">
        <v>75</v>
      </c>
      <c r="B19" s="21" t="str">
        <f>'Orçamento Sintético'!C103</f>
        <v>ESQUADRIAS METÁLICAS</v>
      </c>
      <c r="C19" s="8">
        <f>'Orçamento Sintético'!G103</f>
        <v>142703.5</v>
      </c>
      <c r="D19" s="10">
        <f t="shared" si="0"/>
        <v>8.1258320801713316E-2</v>
      </c>
      <c r="E19" s="8">
        <f>C19*'Orçamento Sintético'!$F$338</f>
        <v>35989.822699999997</v>
      </c>
      <c r="F19" s="9">
        <f t="shared" si="1"/>
        <v>178693.32269999999</v>
      </c>
    </row>
    <row r="20" spans="1:6" ht="20.100000000000001" customHeight="1">
      <c r="A20" s="12" t="s">
        <v>76</v>
      </c>
      <c r="B20" s="21" t="str">
        <f>'Orçamento Sintético'!C110</f>
        <v>VIDROS</v>
      </c>
      <c r="C20" s="8">
        <f>'Orçamento Sintético'!G110</f>
        <v>2032.76</v>
      </c>
      <c r="D20" s="10">
        <f t="shared" si="0"/>
        <v>1.1574955357989871E-3</v>
      </c>
      <c r="E20" s="8">
        <f>C20*'Orçamento Sintético'!$F$338</f>
        <v>512.66207199999997</v>
      </c>
      <c r="F20" s="9">
        <f t="shared" si="1"/>
        <v>2545.4220719999998</v>
      </c>
    </row>
    <row r="21" spans="1:6" ht="20.100000000000001" customHeight="1">
      <c r="A21" s="12" t="s">
        <v>77</v>
      </c>
      <c r="B21" s="21" t="str">
        <f>'Orçamento Sintético'!C112</f>
        <v>FORROS</v>
      </c>
      <c r="C21" s="8">
        <f>'Orçamento Sintético'!G112</f>
        <v>26809.74</v>
      </c>
      <c r="D21" s="10">
        <f t="shared" si="0"/>
        <v>1.5266019778985979E-2</v>
      </c>
      <c r="E21" s="8">
        <f>C21*'Orçamento Sintético'!$F$338</f>
        <v>6761.4164279999995</v>
      </c>
      <c r="F21" s="9">
        <f t="shared" si="1"/>
        <v>33571.156428000002</v>
      </c>
    </row>
    <row r="22" spans="1:6" ht="20.100000000000001" customHeight="1">
      <c r="A22" s="12" t="s">
        <v>78</v>
      </c>
      <c r="B22" s="21" t="str">
        <f>'Orçamento Sintético'!C114</f>
        <v>REVESTIMENTO</v>
      </c>
      <c r="C22" s="8">
        <f>'Orçamento Sintético'!G114</f>
        <v>143775.51</v>
      </c>
      <c r="D22" s="10">
        <f t="shared" si="0"/>
        <v>8.186874544079116E-2</v>
      </c>
      <c r="E22" s="8">
        <f>C22*'Orçamento Sintético'!$F$338</f>
        <v>36260.183621999997</v>
      </c>
      <c r="F22" s="9">
        <f t="shared" si="1"/>
        <v>180035.69362199999</v>
      </c>
    </row>
    <row r="23" spans="1:6" ht="20.100000000000001" customHeight="1">
      <c r="A23" s="12" t="s">
        <v>79</v>
      </c>
      <c r="B23" s="21" t="str">
        <f>'Orçamento Sintético'!C123</f>
        <v>PAVIMENTAÇÃO</v>
      </c>
      <c r="C23" s="8">
        <f>'Orçamento Sintético'!G123</f>
        <v>116089.81</v>
      </c>
      <c r="D23" s="10">
        <f t="shared" si="0"/>
        <v>6.610393594263593E-2</v>
      </c>
      <c r="E23" s="8">
        <f>C23*'Orçamento Sintético'!$F$338</f>
        <v>29277.850081999997</v>
      </c>
      <c r="F23" s="9">
        <f t="shared" si="1"/>
        <v>145367.66008199999</v>
      </c>
    </row>
    <row r="24" spans="1:6" ht="20.100000000000001" customHeight="1">
      <c r="A24" s="12" t="s">
        <v>80</v>
      </c>
      <c r="B24" s="21" t="str">
        <f>'Orçamento Sintético'!C132</f>
        <v>INSTALAÇÕES HIDRO-SANITÁRIAS</v>
      </c>
      <c r="C24" s="8">
        <f>'Orçamento Sintético'!G132</f>
        <v>20717.98</v>
      </c>
      <c r="D24" s="10">
        <f t="shared" si="0"/>
        <v>1.1797245794276106E-2</v>
      </c>
      <c r="E24" s="8">
        <f>C24*'Orçamento Sintético'!$F$338</f>
        <v>5225.0745559999996</v>
      </c>
      <c r="F24" s="9">
        <f t="shared" si="1"/>
        <v>25943.054555999999</v>
      </c>
    </row>
    <row r="25" spans="1:6" ht="20.100000000000001" customHeight="1">
      <c r="A25" s="12" t="s">
        <v>81</v>
      </c>
      <c r="B25" s="21" t="str">
        <f>'Orçamento Sintético'!C179</f>
        <v xml:space="preserve">INSTALAÇÕES ELÉTRICAS </v>
      </c>
      <c r="C25" s="8">
        <f>'Orçamento Sintético'!G179</f>
        <v>188351.44</v>
      </c>
      <c r="D25" s="10">
        <f t="shared" si="0"/>
        <v>0.10725120081136523</v>
      </c>
      <c r="E25" s="8">
        <f>C25*'Orçamento Sintético'!$F$338</f>
        <v>47502.233167999999</v>
      </c>
      <c r="F25" s="9">
        <f t="shared" si="1"/>
        <v>235853.67316800001</v>
      </c>
    </row>
    <row r="26" spans="1:6" ht="20.100000000000001" customHeight="1">
      <c r="A26" s="12" t="s">
        <v>82</v>
      </c>
      <c r="B26" s="21" t="str">
        <f>'Orçamento Sintético'!C241</f>
        <v>SISTEMAS CONTRA DESCARGA ATMOSFERICA</v>
      </c>
      <c r="C26" s="8">
        <f>'Orçamento Sintético'!G241</f>
        <v>19885.580000000002</v>
      </c>
      <c r="D26" s="10">
        <f t="shared" si="0"/>
        <v>1.132326003894883E-2</v>
      </c>
      <c r="E26" s="8">
        <f>C26*'Orçamento Sintético'!$F$338</f>
        <v>5015.1432759999998</v>
      </c>
      <c r="F26" s="9">
        <f t="shared" si="1"/>
        <v>24900.723276000001</v>
      </c>
    </row>
    <row r="27" spans="1:6" ht="20.100000000000001" customHeight="1">
      <c r="A27" s="12" t="s">
        <v>83</v>
      </c>
      <c r="B27" s="21" t="str">
        <f>'Orçamento Sintético'!C258</f>
        <v>INSTALAÇÃO DE COMBATE A INCÊNDIO E PÂNICO</v>
      </c>
      <c r="C27" s="8">
        <f>'Orçamento Sintético'!G258</f>
        <v>8941.0499999999993</v>
      </c>
      <c r="D27" s="10">
        <f t="shared" si="0"/>
        <v>5.0912185700011476E-3</v>
      </c>
      <c r="E27" s="8">
        <f>C27*'Orçamento Sintético'!$F$338</f>
        <v>2254.9328099999998</v>
      </c>
      <c r="F27" s="9">
        <f t="shared" si="1"/>
        <v>11195.98281</v>
      </c>
    </row>
    <row r="28" spans="1:6" ht="20.100000000000001" customHeight="1">
      <c r="A28" s="12" t="s">
        <v>84</v>
      </c>
      <c r="B28" s="21" t="str">
        <f>'Orçamento Sintético'!C268</f>
        <v>CABEAMENTO ESTRUTURADO E TELEFÔNICO</v>
      </c>
      <c r="C28" s="8">
        <f>'Orçamento Sintético'!G268</f>
        <v>26764.69</v>
      </c>
      <c r="D28" s="10">
        <f t="shared" si="0"/>
        <v>1.5240367378364287E-2</v>
      </c>
      <c r="E28" s="8">
        <f>C28*'Orçamento Sintético'!$F$338</f>
        <v>6750.0548179999987</v>
      </c>
      <c r="F28" s="9">
        <f t="shared" si="1"/>
        <v>33514.744817999999</v>
      </c>
    </row>
    <row r="29" spans="1:6" ht="20.100000000000001" customHeight="1">
      <c r="A29" s="12" t="s">
        <v>85</v>
      </c>
      <c r="B29" s="21" t="str">
        <f>'Orçamento Sintético'!C294</f>
        <v>INSTALAÇÕES DE CLIMATIZAÇÃO</v>
      </c>
      <c r="C29" s="8">
        <f>'Orçamento Sintético'!G294</f>
        <v>21039.26</v>
      </c>
      <c r="D29" s="10">
        <f t="shared" si="0"/>
        <v>1.1980189263127076E-2</v>
      </c>
      <c r="E29" s="8">
        <f>C29*'Orçamento Sintético'!$F$338</f>
        <v>5306.1013719999992</v>
      </c>
      <c r="F29" s="9">
        <f t="shared" si="1"/>
        <v>26345.361371999999</v>
      </c>
    </row>
    <row r="30" spans="1:6" ht="20.100000000000001" customHeight="1">
      <c r="A30" s="12" t="s">
        <v>86</v>
      </c>
      <c r="B30" s="21" t="str">
        <f>'Orçamento Sintético'!C297</f>
        <v>PINTURA</v>
      </c>
      <c r="C30" s="8">
        <f>'Orçamento Sintético'!G297</f>
        <v>60910.95</v>
      </c>
      <c r="D30" s="10">
        <f t="shared" si="0"/>
        <v>3.4683953199726142E-2</v>
      </c>
      <c r="E30" s="8">
        <f>C30*'Orçamento Sintético'!$F$338</f>
        <v>15361.741589999998</v>
      </c>
      <c r="F30" s="9">
        <f t="shared" si="1"/>
        <v>76272.691590000002</v>
      </c>
    </row>
    <row r="31" spans="1:6" ht="20.100000000000001" customHeight="1">
      <c r="A31" s="12" t="s">
        <v>87</v>
      </c>
      <c r="B31" s="21" t="str">
        <f>'Orçamento Sintético'!C310</f>
        <v>BANCADAS, LOUÇAS, METAIS E ACESSÓRIOS</v>
      </c>
      <c r="C31" s="8">
        <f>'Orçamento Sintético'!G310</f>
        <v>9754.2000000000007</v>
      </c>
      <c r="D31" s="10">
        <f t="shared" si="0"/>
        <v>5.5542429776709893E-3</v>
      </c>
      <c r="E31" s="8">
        <f>C31*'Orçamento Sintético'!$F$338</f>
        <v>2460.0092399999999</v>
      </c>
      <c r="F31" s="9">
        <f t="shared" si="1"/>
        <v>12214.20924</v>
      </c>
    </row>
    <row r="32" spans="1:6" ht="20.100000000000001" customHeight="1">
      <c r="A32" s="12" t="s">
        <v>88</v>
      </c>
      <c r="B32" s="21" t="str">
        <f>'Orçamento Sintético'!C327</f>
        <v>SERVIÇOS COMPLEMENTARES</v>
      </c>
      <c r="C32" s="8">
        <f>'Orçamento Sintético'!G327</f>
        <v>48551.66</v>
      </c>
      <c r="D32" s="10">
        <f t="shared" si="0"/>
        <v>2.7646318161332499E-2</v>
      </c>
      <c r="E32" s="8">
        <f>C32*'Orçamento Sintético'!$F$338</f>
        <v>12244.728652</v>
      </c>
      <c r="F32" s="9">
        <f t="shared" si="1"/>
        <v>60796.388652000001</v>
      </c>
    </row>
    <row r="33" spans="1:6" ht="20.100000000000001" customHeight="1">
      <c r="A33" s="12" t="s">
        <v>89</v>
      </c>
      <c r="B33" s="21" t="str">
        <f>'Orçamento Sintético'!C335</f>
        <v>ADMINISTRAÇÃO DA OBRA</v>
      </c>
      <c r="C33" s="8">
        <f>'Orçamento Sintético'!G335</f>
        <v>100027.2</v>
      </c>
      <c r="D33" s="10">
        <f t="shared" si="0"/>
        <v>5.6957553994801374E-2</v>
      </c>
      <c r="E33" s="8">
        <f>C33*'Orçamento Sintético'!$F$338</f>
        <v>25226.859839999997</v>
      </c>
      <c r="F33" s="9">
        <f t="shared" si="1"/>
        <v>125254.05984</v>
      </c>
    </row>
    <row r="34" spans="1:6" s="2" customFormat="1" ht="20.100000000000001" customHeight="1">
      <c r="A34" s="403"/>
      <c r="B34" s="404" t="s">
        <v>32</v>
      </c>
      <c r="C34" s="405">
        <f>SUM(C12:C33)</f>
        <v>1756170.92</v>
      </c>
      <c r="D34" s="406">
        <f>SUM(D12:D33)</f>
        <v>1.0000000000000002</v>
      </c>
      <c r="E34" s="407">
        <f>SUM(E12:E33)</f>
        <v>442906.30602400005</v>
      </c>
      <c r="F34" s="407">
        <f>SUM(F12:F33)</f>
        <v>2199077.226024</v>
      </c>
    </row>
    <row r="35" spans="1:6" s="2" customFormat="1" ht="20.100000000000001" customHeight="1">
      <c r="A35" s="403"/>
      <c r="B35" s="404" t="str">
        <f>'Orçamento Sintético'!C338</f>
        <v>BDI (25,22%)</v>
      </c>
      <c r="C35" s="405">
        <f>C34*0.2522</f>
        <v>442906.30602399993</v>
      </c>
      <c r="D35" s="408"/>
      <c r="E35" s="407"/>
      <c r="F35" s="407"/>
    </row>
    <row r="36" spans="1:6" s="2" customFormat="1" ht="20.100000000000001" customHeight="1">
      <c r="A36" s="403"/>
      <c r="B36" s="404" t="str">
        <f>'Orçamento Sintético'!C339</f>
        <v>TOTAL GERAL</v>
      </c>
      <c r="C36" s="405">
        <f>SUM(C34:C35)</f>
        <v>2199077.226024</v>
      </c>
      <c r="D36" s="408"/>
      <c r="E36" s="407"/>
      <c r="F36" s="407"/>
    </row>
    <row r="37" spans="1:6" ht="18" customHeight="1">
      <c r="A37" s="569"/>
      <c r="B37" s="569"/>
      <c r="C37" s="569"/>
      <c r="D37" s="569"/>
      <c r="E37" s="569"/>
      <c r="F37" s="569"/>
    </row>
    <row r="39" spans="1:6">
      <c r="B39" s="11"/>
      <c r="D39" s="16"/>
      <c r="E39" s="17"/>
      <c r="F39" s="18"/>
    </row>
    <row r="40" spans="1:6" ht="14.25">
      <c r="D40" s="557"/>
      <c r="E40" s="557"/>
      <c r="F40" s="557"/>
    </row>
  </sheetData>
  <mergeCells count="6">
    <mergeCell ref="D40:F40"/>
    <mergeCell ref="A8:F8"/>
    <mergeCell ref="C10:F10"/>
    <mergeCell ref="D9:F9"/>
    <mergeCell ref="A9:C9"/>
    <mergeCell ref="A37:F37"/>
  </mergeCells>
  <phoneticPr fontId="6" type="noConversion"/>
  <printOptions horizontalCentered="1"/>
  <pageMargins left="0.39370078740157483" right="0.39370078740157483" top="0.98425196850393704" bottom="0.98425196850393704" header="0.51181102362204722" footer="0.51181102362204722"/>
  <pageSetup paperSize="9" scale="76" fitToHeight="0" orientation="portrait" r:id="rId1"/>
  <headerFooter alignWithMargins="0"/>
  <ignoredErrors>
    <ignoredError sqref="A9 C1:F7 A12 F11 C11:D11 A11:B11 A5:B7 B1:B2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J41"/>
  <sheetViews>
    <sheetView zoomScalePageLayoutView="40" workbookViewId="0">
      <selection activeCell="B8" sqref="B8"/>
    </sheetView>
  </sheetViews>
  <sheetFormatPr defaultRowHeight="12.75"/>
  <cols>
    <col min="1" max="1" width="9.140625" style="409"/>
    <col min="2" max="2" width="6.42578125" style="3" customWidth="1"/>
    <col min="3" max="3" width="46" style="1" customWidth="1"/>
    <col min="4" max="4" width="13.7109375" style="5" customWidth="1"/>
    <col min="5" max="5" width="7.7109375" style="5" customWidth="1"/>
    <col min="6" max="6" width="13.5703125" style="6" bestFit="1" customWidth="1"/>
    <col min="7" max="7" width="14.28515625" style="4" customWidth="1"/>
    <col min="8" max="8" width="8.28515625" style="4" hidden="1" customWidth="1"/>
    <col min="9" max="9" width="14.28515625" style="4" hidden="1" customWidth="1"/>
    <col min="10" max="10" width="8.28515625" style="4" hidden="1" customWidth="1"/>
    <col min="11" max="11" width="14.28515625" style="4" hidden="1" customWidth="1"/>
    <col min="12" max="12" width="8.28515625" style="4" hidden="1" customWidth="1"/>
    <col min="13" max="13" width="14.28515625" style="4" hidden="1" customWidth="1"/>
    <col min="14" max="14" width="8.28515625" style="4" hidden="1" customWidth="1"/>
    <col min="15" max="15" width="14.28515625" style="4" hidden="1" customWidth="1"/>
    <col min="16" max="16" width="8.28515625" style="4" hidden="1" customWidth="1"/>
    <col min="17" max="17" width="14.28515625" style="4" hidden="1" customWidth="1"/>
    <col min="18" max="18" width="8.28515625" style="1" customWidth="1"/>
    <col min="19" max="19" width="10.5703125" style="1" bestFit="1" customWidth="1"/>
    <col min="20" max="20" width="8.28515625" style="1" customWidth="1"/>
    <col min="21" max="21" width="11.42578125" style="1" bestFit="1" customWidth="1"/>
    <col min="22" max="22" width="8.28515625" style="1" customWidth="1"/>
    <col min="23" max="23" width="12.42578125" style="1" bestFit="1" customWidth="1"/>
    <col min="24" max="24" width="8.28515625" style="1" customWidth="1"/>
    <col min="25" max="25" width="12.7109375" style="1" bestFit="1" customWidth="1"/>
    <col min="26" max="26" width="8.28515625" style="1" customWidth="1"/>
    <col min="27" max="27" width="13" style="1" bestFit="1" customWidth="1"/>
    <col min="28" max="28" width="8.28515625" style="1" customWidth="1"/>
    <col min="29" max="29" width="12.7109375" style="1" bestFit="1" customWidth="1"/>
    <col min="30" max="30" width="8.28515625" style="1" customWidth="1"/>
    <col min="31" max="31" width="12.7109375" style="1" bestFit="1" customWidth="1"/>
    <col min="32" max="32" width="8.28515625" style="1" customWidth="1"/>
    <col min="33" max="33" width="13" style="1" bestFit="1" customWidth="1"/>
    <col min="34" max="34" width="9.140625" style="1"/>
    <col min="35" max="35" width="12.140625" style="1" customWidth="1"/>
    <col min="36" max="36" width="13.140625" style="1" customWidth="1"/>
    <col min="37" max="16384" width="9.140625" style="1"/>
  </cols>
  <sheetData>
    <row r="1" spans="1:36">
      <c r="B1" s="102"/>
    </row>
    <row r="2" spans="1:36">
      <c r="B2" s="102" t="s">
        <v>217</v>
      </c>
    </row>
    <row r="3" spans="1:36">
      <c r="B3" s="102"/>
    </row>
    <row r="4" spans="1:36">
      <c r="B4" s="102"/>
    </row>
    <row r="6" spans="1:36" ht="27.75" customHeight="1" thickBot="1"/>
    <row r="7" spans="1:36" s="413" customFormat="1" ht="21" customHeight="1" thickBot="1">
      <c r="A7" s="409"/>
      <c r="B7" s="414"/>
      <c r="C7" s="576" t="s">
        <v>38</v>
      </c>
      <c r="D7" s="576"/>
      <c r="E7" s="576"/>
      <c r="F7" s="576"/>
      <c r="G7" s="576"/>
      <c r="H7" s="415"/>
      <c r="I7" s="415"/>
      <c r="J7" s="415"/>
      <c r="K7" s="415"/>
      <c r="L7" s="415"/>
      <c r="M7" s="415"/>
      <c r="N7" s="415"/>
      <c r="O7" s="415"/>
      <c r="P7" s="415"/>
      <c r="Q7" s="415"/>
      <c r="R7" s="416"/>
      <c r="S7" s="416"/>
      <c r="T7" s="416"/>
      <c r="U7" s="416"/>
      <c r="V7" s="416"/>
      <c r="W7" s="416"/>
      <c r="X7" s="416"/>
      <c r="Y7" s="416"/>
      <c r="Z7" s="416"/>
      <c r="AA7" s="416"/>
      <c r="AB7" s="416"/>
      <c r="AC7" s="416"/>
      <c r="AD7" s="416"/>
      <c r="AE7" s="416"/>
      <c r="AF7" s="416"/>
      <c r="AG7" s="417"/>
    </row>
    <row r="8" spans="1:36" ht="20.25" customHeight="1">
      <c r="B8" s="498" t="s">
        <v>812</v>
      </c>
      <c r="C8" s="424"/>
      <c r="D8" s="424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499"/>
    </row>
    <row r="9" spans="1:36" ht="20.25" customHeight="1" thickBot="1">
      <c r="B9" s="500"/>
      <c r="C9" s="573" t="s">
        <v>447</v>
      </c>
      <c r="D9" s="574"/>
      <c r="E9" s="575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20"/>
      <c r="X9" s="20"/>
      <c r="Y9" s="20"/>
      <c r="Z9" s="20"/>
      <c r="AA9" s="109"/>
      <c r="AB9" s="109"/>
      <c r="AC9" s="19"/>
      <c r="AD9" s="19"/>
      <c r="AE9" s="19"/>
      <c r="AF9" s="20"/>
      <c r="AG9" s="501"/>
    </row>
    <row r="10" spans="1:36" s="413" customFormat="1" ht="15" customHeight="1">
      <c r="A10" s="409"/>
      <c r="B10" s="570" t="s">
        <v>0</v>
      </c>
      <c r="C10" s="581" t="s">
        <v>1</v>
      </c>
      <c r="D10" s="577" t="s">
        <v>27</v>
      </c>
      <c r="E10" s="577" t="s">
        <v>28</v>
      </c>
      <c r="F10" s="579" t="s">
        <v>216</v>
      </c>
      <c r="G10" s="577" t="s">
        <v>29</v>
      </c>
      <c r="H10" s="572" t="s">
        <v>30</v>
      </c>
      <c r="I10" s="572"/>
      <c r="J10" s="572" t="s">
        <v>34</v>
      </c>
      <c r="K10" s="572"/>
      <c r="L10" s="572" t="s">
        <v>35</v>
      </c>
      <c r="M10" s="572"/>
      <c r="N10" s="572" t="s">
        <v>36</v>
      </c>
      <c r="O10" s="572"/>
      <c r="P10" s="572" t="s">
        <v>37</v>
      </c>
      <c r="Q10" s="572"/>
      <c r="R10" s="572" t="s">
        <v>30</v>
      </c>
      <c r="S10" s="572"/>
      <c r="T10" s="572" t="s">
        <v>34</v>
      </c>
      <c r="U10" s="572"/>
      <c r="V10" s="572" t="s">
        <v>35</v>
      </c>
      <c r="W10" s="572"/>
      <c r="X10" s="572" t="s">
        <v>36</v>
      </c>
      <c r="Y10" s="572"/>
      <c r="Z10" s="572" t="s">
        <v>37</v>
      </c>
      <c r="AA10" s="572"/>
      <c r="AB10" s="572" t="s">
        <v>111</v>
      </c>
      <c r="AC10" s="572"/>
      <c r="AD10" s="572" t="s">
        <v>112</v>
      </c>
      <c r="AE10" s="572"/>
      <c r="AF10" s="572" t="s">
        <v>1466</v>
      </c>
      <c r="AG10" s="583"/>
    </row>
    <row r="11" spans="1:36" s="413" customFormat="1" ht="12.75" customHeight="1" thickBot="1">
      <c r="A11" s="409"/>
      <c r="B11" s="571"/>
      <c r="C11" s="582"/>
      <c r="D11" s="578"/>
      <c r="E11" s="578"/>
      <c r="F11" s="580"/>
      <c r="G11" s="578"/>
      <c r="H11" s="418" t="s">
        <v>28</v>
      </c>
      <c r="I11" s="418" t="s">
        <v>31</v>
      </c>
      <c r="J11" s="418" t="s">
        <v>28</v>
      </c>
      <c r="K11" s="418" t="s">
        <v>31</v>
      </c>
      <c r="L11" s="418" t="s">
        <v>28</v>
      </c>
      <c r="M11" s="418" t="s">
        <v>31</v>
      </c>
      <c r="N11" s="418" t="s">
        <v>28</v>
      </c>
      <c r="O11" s="418" t="s">
        <v>31</v>
      </c>
      <c r="P11" s="418" t="s">
        <v>28</v>
      </c>
      <c r="Q11" s="418" t="s">
        <v>31</v>
      </c>
      <c r="R11" s="418" t="s">
        <v>28</v>
      </c>
      <c r="S11" s="418" t="s">
        <v>31</v>
      </c>
      <c r="T11" s="418" t="s">
        <v>28</v>
      </c>
      <c r="U11" s="418" t="s">
        <v>31</v>
      </c>
      <c r="V11" s="418" t="s">
        <v>28</v>
      </c>
      <c r="W11" s="418" t="s">
        <v>31</v>
      </c>
      <c r="X11" s="418" t="s">
        <v>28</v>
      </c>
      <c r="Y11" s="418" t="s">
        <v>31</v>
      </c>
      <c r="Z11" s="418" t="s">
        <v>28</v>
      </c>
      <c r="AA11" s="418" t="s">
        <v>31</v>
      </c>
      <c r="AB11" s="418" t="s">
        <v>28</v>
      </c>
      <c r="AC11" s="418" t="s">
        <v>31</v>
      </c>
      <c r="AD11" s="418" t="s">
        <v>28</v>
      </c>
      <c r="AE11" s="418" t="s">
        <v>31</v>
      </c>
      <c r="AF11" s="418" t="s">
        <v>28</v>
      </c>
      <c r="AG11" s="419" t="s">
        <v>31</v>
      </c>
    </row>
    <row r="12" spans="1:36" s="409" customFormat="1" ht="14.25">
      <c r="B12" s="518" t="str">
        <f>'Orçamento Resumo'!A12</f>
        <v>1</v>
      </c>
      <c r="C12" s="519" t="str">
        <f>'Orçamento Resumo'!B12</f>
        <v>SERVICOS PRELIMINARES/TÉCNICOS</v>
      </c>
      <c r="D12" s="520">
        <f>'Orçamento Resumo'!C12</f>
        <v>23010.74</v>
      </c>
      <c r="E12" s="521">
        <f>'Orçamento Resumo'!D12</f>
        <v>1.3102790701032678E-2</v>
      </c>
      <c r="F12" s="520">
        <f>D12*'Orçamento Sintético'!$F$338</f>
        <v>5803.3086279999998</v>
      </c>
      <c r="G12" s="522">
        <f>D12+F12</f>
        <v>28814.048628</v>
      </c>
      <c r="H12" s="523"/>
      <c r="I12" s="524">
        <f t="shared" ref="I12:I33" si="0">H12*$G12</f>
        <v>0</v>
      </c>
      <c r="J12" s="523"/>
      <c r="K12" s="524">
        <f t="shared" ref="K12:K33" si="1">J12*$G12</f>
        <v>0</v>
      </c>
      <c r="L12" s="523"/>
      <c r="M12" s="524">
        <f t="shared" ref="M12:M33" si="2">L12*$G12</f>
        <v>0</v>
      </c>
      <c r="N12" s="523"/>
      <c r="O12" s="524">
        <f t="shared" ref="O12:O33" si="3">N12*$G12</f>
        <v>0</v>
      </c>
      <c r="P12" s="523"/>
      <c r="Q12" s="524">
        <f t="shared" ref="Q12:Q33" si="4">P12*$G12</f>
        <v>0</v>
      </c>
      <c r="R12" s="523">
        <v>1</v>
      </c>
      <c r="S12" s="524">
        <f t="shared" ref="S12:S33" si="5">R12*$G12</f>
        <v>28814.048628</v>
      </c>
      <c r="T12" s="523"/>
      <c r="U12" s="524">
        <f t="shared" ref="U12:U33" si="6">T12*$G12</f>
        <v>0</v>
      </c>
      <c r="V12" s="523"/>
      <c r="W12" s="524">
        <f t="shared" ref="W12:W33" si="7">V12*$G12</f>
        <v>0</v>
      </c>
      <c r="X12" s="523"/>
      <c r="Y12" s="524">
        <f t="shared" ref="Y12:Y33" si="8">X12*$G12</f>
        <v>0</v>
      </c>
      <c r="Z12" s="523"/>
      <c r="AA12" s="524">
        <f t="shared" ref="AA12:AA33" si="9">Z12*$G12</f>
        <v>0</v>
      </c>
      <c r="AB12" s="523"/>
      <c r="AC12" s="524">
        <f t="shared" ref="AC12:AC33" si="10">AB12*$G12</f>
        <v>0</v>
      </c>
      <c r="AD12" s="523"/>
      <c r="AE12" s="524">
        <f t="shared" ref="AE12:AE33" si="11">AD12*$G12</f>
        <v>0</v>
      </c>
      <c r="AF12" s="523"/>
      <c r="AG12" s="525">
        <f t="shared" ref="AG12:AG33" si="12">AF12*$G12</f>
        <v>0</v>
      </c>
      <c r="AH12" s="701">
        <f>AF12+AD12+AB12+Z12+X12+V12+T12+R12</f>
        <v>1</v>
      </c>
      <c r="AI12" s="702">
        <f>AG12+AE12+AC12+AA12+Y12+W12+U12+S12</f>
        <v>28814.048628</v>
      </c>
      <c r="AJ12" s="702">
        <f>AI12-G12</f>
        <v>0</v>
      </c>
    </row>
    <row r="13" spans="1:36" s="409" customFormat="1" ht="14.25">
      <c r="B13" s="526" t="str">
        <f>'Orçamento Resumo'!A13</f>
        <v>2</v>
      </c>
      <c r="C13" s="527" t="str">
        <f>'Orçamento Resumo'!B13</f>
        <v>SERVIÇOS EM TERRA</v>
      </c>
      <c r="D13" s="528">
        <f>'Orçamento Resumo'!C13</f>
        <v>32662.720000000001</v>
      </c>
      <c r="E13" s="529">
        <f>'Orçamento Resumo'!D13</f>
        <v>1.8598827499091034E-2</v>
      </c>
      <c r="F13" s="528">
        <f>D13*'Orçamento Sintético'!$F$338</f>
        <v>8237.5379840000005</v>
      </c>
      <c r="G13" s="522">
        <f t="shared" ref="G13:G33" si="13">D13+F13</f>
        <v>40900.257984000003</v>
      </c>
      <c r="H13" s="530"/>
      <c r="I13" s="531">
        <f t="shared" si="0"/>
        <v>0</v>
      </c>
      <c r="J13" s="530"/>
      <c r="K13" s="531">
        <f t="shared" si="1"/>
        <v>0</v>
      </c>
      <c r="L13" s="530"/>
      <c r="M13" s="531">
        <f t="shared" si="2"/>
        <v>0</v>
      </c>
      <c r="N13" s="530"/>
      <c r="O13" s="531">
        <f t="shared" si="3"/>
        <v>0</v>
      </c>
      <c r="P13" s="530"/>
      <c r="Q13" s="531">
        <f t="shared" si="4"/>
        <v>0</v>
      </c>
      <c r="R13" s="530">
        <v>0.5</v>
      </c>
      <c r="S13" s="531">
        <f t="shared" si="5"/>
        <v>20450.128992000002</v>
      </c>
      <c r="T13" s="530">
        <v>0.5</v>
      </c>
      <c r="U13" s="531">
        <f t="shared" si="6"/>
        <v>20450.128992000002</v>
      </c>
      <c r="V13" s="530"/>
      <c r="W13" s="531">
        <f t="shared" si="7"/>
        <v>0</v>
      </c>
      <c r="X13" s="530"/>
      <c r="Y13" s="531">
        <f t="shared" si="8"/>
        <v>0</v>
      </c>
      <c r="Z13" s="530"/>
      <c r="AA13" s="531">
        <f t="shared" si="9"/>
        <v>0</v>
      </c>
      <c r="AB13" s="530"/>
      <c r="AC13" s="531">
        <f t="shared" si="10"/>
        <v>0</v>
      </c>
      <c r="AD13" s="530"/>
      <c r="AE13" s="531">
        <f t="shared" si="11"/>
        <v>0</v>
      </c>
      <c r="AF13" s="530"/>
      <c r="AG13" s="532">
        <f t="shared" si="12"/>
        <v>0</v>
      </c>
      <c r="AH13" s="701">
        <f t="shared" ref="AH13:AH33" si="14">AF13+AD13+AB13+Z13+X13+V13+T13+R13</f>
        <v>1</v>
      </c>
      <c r="AI13" s="702">
        <f t="shared" ref="AI13:AI33" si="15">AG13+AE13+AC13+AA13+Y13+W13+U13+S13</f>
        <v>40900.257984000003</v>
      </c>
      <c r="AJ13" s="702">
        <f t="shared" ref="AJ13:AJ33" si="16">AI13-G13</f>
        <v>0</v>
      </c>
    </row>
    <row r="14" spans="1:36" s="409" customFormat="1" ht="14.25">
      <c r="B14" s="526" t="str">
        <f>'Orçamento Resumo'!A14</f>
        <v>3</v>
      </c>
      <c r="C14" s="527" t="str">
        <f>'Orçamento Resumo'!B14</f>
        <v>FUNDAÇÕES E SONDAGENS</v>
      </c>
      <c r="D14" s="528">
        <f>'Orçamento Resumo'!C14</f>
        <v>69065.59</v>
      </c>
      <c r="E14" s="529">
        <f>'Orçamento Resumo'!D14</f>
        <v>3.9327373670439779E-2</v>
      </c>
      <c r="F14" s="528">
        <f>D14*'Orçamento Sintético'!$F$338</f>
        <v>17418.341797999998</v>
      </c>
      <c r="G14" s="522">
        <f t="shared" si="13"/>
        <v>86483.931797999991</v>
      </c>
      <c r="H14" s="530"/>
      <c r="I14" s="531">
        <f t="shared" si="0"/>
        <v>0</v>
      </c>
      <c r="J14" s="530"/>
      <c r="K14" s="531">
        <f t="shared" si="1"/>
        <v>0</v>
      </c>
      <c r="L14" s="530"/>
      <c r="M14" s="531">
        <f t="shared" si="2"/>
        <v>0</v>
      </c>
      <c r="N14" s="530"/>
      <c r="O14" s="531">
        <f t="shared" si="3"/>
        <v>0</v>
      </c>
      <c r="P14" s="530"/>
      <c r="Q14" s="531">
        <f t="shared" si="4"/>
        <v>0</v>
      </c>
      <c r="R14" s="530">
        <v>0.5</v>
      </c>
      <c r="S14" s="531">
        <f t="shared" si="5"/>
        <v>43241.965898999995</v>
      </c>
      <c r="T14" s="530">
        <v>0.5</v>
      </c>
      <c r="U14" s="531">
        <f t="shared" si="6"/>
        <v>43241.965898999995</v>
      </c>
      <c r="V14" s="530"/>
      <c r="W14" s="531">
        <f t="shared" si="7"/>
        <v>0</v>
      </c>
      <c r="X14" s="530"/>
      <c r="Y14" s="531">
        <f t="shared" si="8"/>
        <v>0</v>
      </c>
      <c r="Z14" s="530"/>
      <c r="AA14" s="531">
        <f t="shared" si="9"/>
        <v>0</v>
      </c>
      <c r="AB14" s="530"/>
      <c r="AC14" s="531">
        <f t="shared" si="10"/>
        <v>0</v>
      </c>
      <c r="AD14" s="530"/>
      <c r="AE14" s="531">
        <f t="shared" si="11"/>
        <v>0</v>
      </c>
      <c r="AF14" s="530"/>
      <c r="AG14" s="532">
        <f t="shared" si="12"/>
        <v>0</v>
      </c>
      <c r="AH14" s="701">
        <f t="shared" si="14"/>
        <v>1</v>
      </c>
      <c r="AI14" s="702">
        <f t="shared" si="15"/>
        <v>86483.931797999991</v>
      </c>
      <c r="AJ14" s="702">
        <f t="shared" si="16"/>
        <v>0</v>
      </c>
    </row>
    <row r="15" spans="1:36" s="409" customFormat="1" ht="14.25">
      <c r="B15" s="526" t="str">
        <f>'Orçamento Resumo'!A15</f>
        <v>4</v>
      </c>
      <c r="C15" s="527" t="str">
        <f>'Orçamento Resumo'!B15</f>
        <v>SUPERESTRUTURA</v>
      </c>
      <c r="D15" s="528">
        <f>'Orçamento Resumo'!C15</f>
        <v>512496.27</v>
      </c>
      <c r="E15" s="529">
        <f>'Orçamento Resumo'!D15</f>
        <v>0.29182596304464492</v>
      </c>
      <c r="F15" s="528">
        <f>D15*'Orçamento Sintético'!$F$338</f>
        <v>129251.55929399999</v>
      </c>
      <c r="G15" s="522">
        <f t="shared" si="13"/>
        <v>641747.82929400005</v>
      </c>
      <c r="H15" s="530"/>
      <c r="I15" s="531">
        <f t="shared" si="0"/>
        <v>0</v>
      </c>
      <c r="J15" s="530"/>
      <c r="K15" s="531">
        <f t="shared" si="1"/>
        <v>0</v>
      </c>
      <c r="L15" s="530"/>
      <c r="M15" s="531">
        <f t="shared" si="2"/>
        <v>0</v>
      </c>
      <c r="N15" s="530"/>
      <c r="O15" s="531">
        <f t="shared" si="3"/>
        <v>0</v>
      </c>
      <c r="P15" s="530"/>
      <c r="Q15" s="531">
        <f t="shared" si="4"/>
        <v>0</v>
      </c>
      <c r="R15" s="530"/>
      <c r="S15" s="531">
        <f t="shared" si="5"/>
        <v>0</v>
      </c>
      <c r="T15" s="530">
        <v>0.3</v>
      </c>
      <c r="U15" s="531">
        <f t="shared" si="6"/>
        <v>192524.3487882</v>
      </c>
      <c r="V15" s="530">
        <v>0.2</v>
      </c>
      <c r="W15" s="531">
        <f t="shared" si="7"/>
        <v>128349.56585880002</v>
      </c>
      <c r="X15" s="530">
        <v>0.3</v>
      </c>
      <c r="Y15" s="531">
        <f t="shared" si="8"/>
        <v>192524.3487882</v>
      </c>
      <c r="Z15" s="530">
        <v>0.2</v>
      </c>
      <c r="AA15" s="531">
        <f t="shared" si="9"/>
        <v>128349.56585880002</v>
      </c>
      <c r="AB15" s="530"/>
      <c r="AC15" s="531">
        <f t="shared" si="10"/>
        <v>0</v>
      </c>
      <c r="AD15" s="530"/>
      <c r="AE15" s="531">
        <f t="shared" si="11"/>
        <v>0</v>
      </c>
      <c r="AF15" s="530"/>
      <c r="AG15" s="532">
        <f t="shared" si="12"/>
        <v>0</v>
      </c>
      <c r="AH15" s="701">
        <f t="shared" si="14"/>
        <v>1</v>
      </c>
      <c r="AI15" s="702">
        <f t="shared" si="15"/>
        <v>641747.82929400005</v>
      </c>
      <c r="AJ15" s="702">
        <f t="shared" si="16"/>
        <v>0</v>
      </c>
    </row>
    <row r="16" spans="1:36" s="409" customFormat="1" ht="14.25">
      <c r="B16" s="526" t="str">
        <f>'Orçamento Resumo'!A16</f>
        <v>5</v>
      </c>
      <c r="C16" s="527" t="str">
        <f>'Orçamento Resumo'!B16</f>
        <v>ALVENARIA E VEDAÇÕES</v>
      </c>
      <c r="D16" s="528">
        <f>'Orçamento Resumo'!C16</f>
        <v>78999.83</v>
      </c>
      <c r="E16" s="529">
        <f>'Orçamento Resumo'!D16</f>
        <v>4.4984135143292317E-2</v>
      </c>
      <c r="F16" s="528">
        <f>D16*'Orçamento Sintético'!$F$338</f>
        <v>19923.757126</v>
      </c>
      <c r="G16" s="522">
        <f t="shared" si="13"/>
        <v>98923.587125999999</v>
      </c>
      <c r="H16" s="530"/>
      <c r="I16" s="531">
        <f t="shared" si="0"/>
        <v>0</v>
      </c>
      <c r="J16" s="530"/>
      <c r="K16" s="531">
        <f t="shared" si="1"/>
        <v>0</v>
      </c>
      <c r="L16" s="530"/>
      <c r="M16" s="531">
        <f t="shared" si="2"/>
        <v>0</v>
      </c>
      <c r="N16" s="530"/>
      <c r="O16" s="531">
        <f t="shared" si="3"/>
        <v>0</v>
      </c>
      <c r="P16" s="530"/>
      <c r="Q16" s="531">
        <f t="shared" si="4"/>
        <v>0</v>
      </c>
      <c r="R16" s="530"/>
      <c r="S16" s="531">
        <f t="shared" si="5"/>
        <v>0</v>
      </c>
      <c r="T16" s="530"/>
      <c r="U16" s="531">
        <f t="shared" si="6"/>
        <v>0</v>
      </c>
      <c r="V16" s="530">
        <v>0.25</v>
      </c>
      <c r="W16" s="531">
        <f t="shared" si="7"/>
        <v>24730.8967815</v>
      </c>
      <c r="X16" s="530">
        <v>0.25</v>
      </c>
      <c r="Y16" s="531">
        <f t="shared" si="8"/>
        <v>24730.8967815</v>
      </c>
      <c r="Z16" s="530">
        <v>0.5</v>
      </c>
      <c r="AA16" s="531">
        <f t="shared" si="9"/>
        <v>49461.793562999999</v>
      </c>
      <c r="AB16" s="530"/>
      <c r="AC16" s="531">
        <f t="shared" si="10"/>
        <v>0</v>
      </c>
      <c r="AD16" s="530"/>
      <c r="AE16" s="531">
        <f t="shared" si="11"/>
        <v>0</v>
      </c>
      <c r="AF16" s="530"/>
      <c r="AG16" s="532">
        <f t="shared" si="12"/>
        <v>0</v>
      </c>
      <c r="AH16" s="701">
        <f t="shared" si="14"/>
        <v>1</v>
      </c>
      <c r="AI16" s="702">
        <f t="shared" si="15"/>
        <v>98923.587125999999</v>
      </c>
      <c r="AJ16" s="702">
        <f t="shared" si="16"/>
        <v>0</v>
      </c>
    </row>
    <row r="17" spans="2:36" s="409" customFormat="1" ht="14.25">
      <c r="B17" s="526" t="str">
        <f>'Orçamento Resumo'!A17</f>
        <v>6</v>
      </c>
      <c r="C17" s="527" t="str">
        <f>'Orçamento Resumo'!B17</f>
        <v>IMPERMEABILIZAÇÃO</v>
      </c>
      <c r="D17" s="528">
        <f>'Orçamento Resumo'!C17</f>
        <v>12002.83</v>
      </c>
      <c r="E17" s="529">
        <f>'Orçamento Resumo'!D17</f>
        <v>6.834659350810797E-3</v>
      </c>
      <c r="F17" s="528">
        <f>D17*'Orçamento Sintético'!$F$338</f>
        <v>3027.1137259999996</v>
      </c>
      <c r="G17" s="522">
        <f t="shared" si="13"/>
        <v>15029.943726</v>
      </c>
      <c r="H17" s="530"/>
      <c r="I17" s="531">
        <f t="shared" si="0"/>
        <v>0</v>
      </c>
      <c r="J17" s="530"/>
      <c r="K17" s="531">
        <f t="shared" si="1"/>
        <v>0</v>
      </c>
      <c r="L17" s="530"/>
      <c r="M17" s="531">
        <f t="shared" si="2"/>
        <v>0</v>
      </c>
      <c r="N17" s="530"/>
      <c r="O17" s="531">
        <f t="shared" si="3"/>
        <v>0</v>
      </c>
      <c r="P17" s="530"/>
      <c r="Q17" s="531">
        <f t="shared" si="4"/>
        <v>0</v>
      </c>
      <c r="R17" s="530"/>
      <c r="S17" s="531">
        <f t="shared" si="5"/>
        <v>0</v>
      </c>
      <c r="T17" s="530">
        <v>0.3</v>
      </c>
      <c r="U17" s="531">
        <f t="shared" si="6"/>
        <v>4508.9831177999995</v>
      </c>
      <c r="V17" s="530"/>
      <c r="W17" s="531">
        <f t="shared" si="7"/>
        <v>0</v>
      </c>
      <c r="X17" s="530"/>
      <c r="Y17" s="531">
        <f t="shared" si="8"/>
        <v>0</v>
      </c>
      <c r="Z17" s="530"/>
      <c r="AA17" s="531">
        <f t="shared" si="9"/>
        <v>0</v>
      </c>
      <c r="AB17" s="530">
        <v>0.5</v>
      </c>
      <c r="AC17" s="531">
        <f t="shared" si="10"/>
        <v>7514.9718629999998</v>
      </c>
      <c r="AD17" s="530">
        <v>0.2</v>
      </c>
      <c r="AE17" s="531">
        <f t="shared" si="11"/>
        <v>3005.9887452000003</v>
      </c>
      <c r="AF17" s="530"/>
      <c r="AG17" s="532">
        <f t="shared" si="12"/>
        <v>0</v>
      </c>
      <c r="AH17" s="701">
        <f t="shared" si="14"/>
        <v>1</v>
      </c>
      <c r="AI17" s="702">
        <f t="shared" si="15"/>
        <v>15029.943725999998</v>
      </c>
      <c r="AJ17" s="702">
        <f t="shared" si="16"/>
        <v>0</v>
      </c>
    </row>
    <row r="18" spans="2:36" s="409" customFormat="1" ht="14.25">
      <c r="B18" s="526" t="str">
        <f>'Orçamento Resumo'!A18</f>
        <v>7</v>
      </c>
      <c r="C18" s="527" t="str">
        <f>'Orçamento Resumo'!B18</f>
        <v>COBERTURA E PROTEÇÕES</v>
      </c>
      <c r="D18" s="528">
        <f>'Orçamento Resumo'!C18</f>
        <v>91577.61</v>
      </c>
      <c r="E18" s="529">
        <f>'Orçamento Resumo'!D18</f>
        <v>5.2146182901149508E-2</v>
      </c>
      <c r="F18" s="528">
        <f>D18*'Orçamento Sintético'!$F$338</f>
        <v>23095.873241999998</v>
      </c>
      <c r="G18" s="522">
        <f t="shared" si="13"/>
        <v>114673.483242</v>
      </c>
      <c r="H18" s="530"/>
      <c r="I18" s="531">
        <f t="shared" si="0"/>
        <v>0</v>
      </c>
      <c r="J18" s="530"/>
      <c r="K18" s="531">
        <f t="shared" si="1"/>
        <v>0</v>
      </c>
      <c r="L18" s="530"/>
      <c r="M18" s="531">
        <f t="shared" si="2"/>
        <v>0</v>
      </c>
      <c r="N18" s="530"/>
      <c r="O18" s="531">
        <f t="shared" si="3"/>
        <v>0</v>
      </c>
      <c r="P18" s="530"/>
      <c r="Q18" s="531">
        <f t="shared" si="4"/>
        <v>0</v>
      </c>
      <c r="R18" s="530"/>
      <c r="S18" s="531">
        <f t="shared" si="5"/>
        <v>0</v>
      </c>
      <c r="T18" s="530"/>
      <c r="U18" s="531">
        <f t="shared" si="6"/>
        <v>0</v>
      </c>
      <c r="V18" s="530"/>
      <c r="W18" s="531">
        <f t="shared" si="7"/>
        <v>0</v>
      </c>
      <c r="X18" s="530"/>
      <c r="Y18" s="531">
        <f t="shared" si="8"/>
        <v>0</v>
      </c>
      <c r="Z18" s="530">
        <v>0.4</v>
      </c>
      <c r="AA18" s="531">
        <f t="shared" si="9"/>
        <v>45869.393296800001</v>
      </c>
      <c r="AB18" s="530">
        <v>0.6</v>
      </c>
      <c r="AC18" s="531">
        <f t="shared" si="10"/>
        <v>68804.089945200001</v>
      </c>
      <c r="AD18" s="530"/>
      <c r="AE18" s="531">
        <f t="shared" si="11"/>
        <v>0</v>
      </c>
      <c r="AF18" s="530"/>
      <c r="AG18" s="532">
        <f t="shared" si="12"/>
        <v>0</v>
      </c>
      <c r="AH18" s="701">
        <f t="shared" si="14"/>
        <v>1</v>
      </c>
      <c r="AI18" s="702">
        <f t="shared" si="15"/>
        <v>114673.483242</v>
      </c>
      <c r="AJ18" s="702">
        <f t="shared" si="16"/>
        <v>0</v>
      </c>
    </row>
    <row r="19" spans="2:36" s="409" customFormat="1" ht="14.25">
      <c r="B19" s="526" t="str">
        <f>'Orçamento Resumo'!A19</f>
        <v>8</v>
      </c>
      <c r="C19" s="527" t="str">
        <f>'Orçamento Resumo'!B19</f>
        <v>ESQUADRIAS METÁLICAS</v>
      </c>
      <c r="D19" s="528">
        <f>'Orçamento Resumo'!C19</f>
        <v>142703.5</v>
      </c>
      <c r="E19" s="529">
        <f>'Orçamento Resumo'!D19</f>
        <v>8.1258320801713316E-2</v>
      </c>
      <c r="F19" s="528">
        <f>D19*'Orçamento Sintético'!$F$338</f>
        <v>35989.822699999997</v>
      </c>
      <c r="G19" s="522">
        <f t="shared" si="13"/>
        <v>178693.32269999999</v>
      </c>
      <c r="H19" s="530"/>
      <c r="I19" s="531">
        <f t="shared" si="0"/>
        <v>0</v>
      </c>
      <c r="J19" s="530"/>
      <c r="K19" s="531">
        <f t="shared" si="1"/>
        <v>0</v>
      </c>
      <c r="L19" s="530"/>
      <c r="M19" s="531">
        <f t="shared" si="2"/>
        <v>0</v>
      </c>
      <c r="N19" s="530"/>
      <c r="O19" s="531">
        <f t="shared" si="3"/>
        <v>0</v>
      </c>
      <c r="P19" s="530"/>
      <c r="Q19" s="531">
        <f t="shared" si="4"/>
        <v>0</v>
      </c>
      <c r="R19" s="530"/>
      <c r="S19" s="531">
        <f t="shared" si="5"/>
        <v>0</v>
      </c>
      <c r="T19" s="530"/>
      <c r="U19" s="531">
        <f t="shared" si="6"/>
        <v>0</v>
      </c>
      <c r="V19" s="530"/>
      <c r="W19" s="531">
        <f t="shared" si="7"/>
        <v>0</v>
      </c>
      <c r="X19" s="530"/>
      <c r="Y19" s="531">
        <f t="shared" si="8"/>
        <v>0</v>
      </c>
      <c r="Z19" s="530">
        <v>1</v>
      </c>
      <c r="AA19" s="531">
        <f t="shared" si="9"/>
        <v>178693.32269999999</v>
      </c>
      <c r="AB19" s="530"/>
      <c r="AC19" s="531">
        <f t="shared" si="10"/>
        <v>0</v>
      </c>
      <c r="AD19" s="530"/>
      <c r="AE19" s="531">
        <f t="shared" si="11"/>
        <v>0</v>
      </c>
      <c r="AF19" s="530"/>
      <c r="AG19" s="532">
        <f t="shared" si="12"/>
        <v>0</v>
      </c>
      <c r="AH19" s="701">
        <f t="shared" si="14"/>
        <v>1</v>
      </c>
      <c r="AI19" s="702">
        <f t="shared" si="15"/>
        <v>178693.32269999999</v>
      </c>
      <c r="AJ19" s="702">
        <f t="shared" si="16"/>
        <v>0</v>
      </c>
    </row>
    <row r="20" spans="2:36" s="409" customFormat="1" ht="14.25">
      <c r="B20" s="526" t="str">
        <f>'Orçamento Resumo'!A20</f>
        <v>9</v>
      </c>
      <c r="C20" s="527" t="str">
        <f>'Orçamento Resumo'!B20</f>
        <v>VIDROS</v>
      </c>
      <c r="D20" s="528">
        <f>'Orçamento Resumo'!C20</f>
        <v>2032.76</v>
      </c>
      <c r="E20" s="529">
        <f>'Orçamento Resumo'!D20</f>
        <v>1.1574955357989871E-3</v>
      </c>
      <c r="F20" s="528">
        <f>D20*'Orçamento Sintético'!$F$338</f>
        <v>512.66207199999997</v>
      </c>
      <c r="G20" s="522">
        <f t="shared" si="13"/>
        <v>2545.4220719999998</v>
      </c>
      <c r="H20" s="530"/>
      <c r="I20" s="531">
        <f t="shared" si="0"/>
        <v>0</v>
      </c>
      <c r="J20" s="530"/>
      <c r="K20" s="531">
        <f t="shared" si="1"/>
        <v>0</v>
      </c>
      <c r="L20" s="530"/>
      <c r="M20" s="531">
        <f t="shared" si="2"/>
        <v>0</v>
      </c>
      <c r="N20" s="530"/>
      <c r="O20" s="531">
        <f t="shared" si="3"/>
        <v>0</v>
      </c>
      <c r="P20" s="530"/>
      <c r="Q20" s="531">
        <f t="shared" si="4"/>
        <v>0</v>
      </c>
      <c r="R20" s="530"/>
      <c r="S20" s="531">
        <f t="shared" si="5"/>
        <v>0</v>
      </c>
      <c r="T20" s="530"/>
      <c r="U20" s="531">
        <f t="shared" si="6"/>
        <v>0</v>
      </c>
      <c r="V20" s="530"/>
      <c r="W20" s="531">
        <f t="shared" si="7"/>
        <v>0</v>
      </c>
      <c r="X20" s="530"/>
      <c r="Y20" s="531">
        <f t="shared" si="8"/>
        <v>0</v>
      </c>
      <c r="Z20" s="530"/>
      <c r="AA20" s="531">
        <f t="shared" si="9"/>
        <v>0</v>
      </c>
      <c r="AB20" s="530"/>
      <c r="AC20" s="531">
        <f t="shared" si="10"/>
        <v>0</v>
      </c>
      <c r="AD20" s="530"/>
      <c r="AE20" s="531">
        <f t="shared" si="11"/>
        <v>0</v>
      </c>
      <c r="AF20" s="530">
        <v>1</v>
      </c>
      <c r="AG20" s="532">
        <f t="shared" si="12"/>
        <v>2545.4220719999998</v>
      </c>
      <c r="AH20" s="701">
        <f t="shared" si="14"/>
        <v>1</v>
      </c>
      <c r="AI20" s="702">
        <f t="shared" si="15"/>
        <v>2545.4220719999998</v>
      </c>
      <c r="AJ20" s="702">
        <f t="shared" si="16"/>
        <v>0</v>
      </c>
    </row>
    <row r="21" spans="2:36" s="409" customFormat="1" ht="14.25">
      <c r="B21" s="526" t="str">
        <f>'Orçamento Resumo'!A21</f>
        <v>10</v>
      </c>
      <c r="C21" s="527" t="str">
        <f>'Orçamento Resumo'!B21</f>
        <v>FORROS</v>
      </c>
      <c r="D21" s="528">
        <f>'Orçamento Resumo'!C21</f>
        <v>26809.74</v>
      </c>
      <c r="E21" s="529">
        <f>'Orçamento Resumo'!D21</f>
        <v>1.5266019778985979E-2</v>
      </c>
      <c r="F21" s="528">
        <f>D21*'Orçamento Sintético'!$F$338</f>
        <v>6761.4164279999995</v>
      </c>
      <c r="G21" s="522">
        <f t="shared" si="13"/>
        <v>33571.156428000002</v>
      </c>
      <c r="H21" s="530"/>
      <c r="I21" s="531">
        <f t="shared" si="0"/>
        <v>0</v>
      </c>
      <c r="J21" s="530"/>
      <c r="K21" s="531">
        <f t="shared" si="1"/>
        <v>0</v>
      </c>
      <c r="L21" s="530"/>
      <c r="M21" s="531">
        <f t="shared" si="2"/>
        <v>0</v>
      </c>
      <c r="N21" s="530"/>
      <c r="O21" s="531">
        <f t="shared" si="3"/>
        <v>0</v>
      </c>
      <c r="P21" s="530"/>
      <c r="Q21" s="531">
        <f t="shared" si="4"/>
        <v>0</v>
      </c>
      <c r="R21" s="530"/>
      <c r="S21" s="531">
        <f t="shared" si="5"/>
        <v>0</v>
      </c>
      <c r="T21" s="530"/>
      <c r="U21" s="531">
        <f t="shared" si="6"/>
        <v>0</v>
      </c>
      <c r="V21" s="530"/>
      <c r="W21" s="531">
        <f t="shared" si="7"/>
        <v>0</v>
      </c>
      <c r="X21" s="530"/>
      <c r="Y21" s="531">
        <f t="shared" si="8"/>
        <v>0</v>
      </c>
      <c r="Z21" s="530"/>
      <c r="AA21" s="531">
        <f t="shared" si="9"/>
        <v>0</v>
      </c>
      <c r="AB21" s="530"/>
      <c r="AC21" s="531">
        <f t="shared" si="10"/>
        <v>0</v>
      </c>
      <c r="AD21" s="530">
        <v>0.5</v>
      </c>
      <c r="AE21" s="531">
        <f t="shared" si="11"/>
        <v>16785.578214000001</v>
      </c>
      <c r="AF21" s="530">
        <v>0.5</v>
      </c>
      <c r="AG21" s="532">
        <f t="shared" si="12"/>
        <v>16785.578214000001</v>
      </c>
      <c r="AH21" s="701">
        <f t="shared" si="14"/>
        <v>1</v>
      </c>
      <c r="AI21" s="702">
        <f t="shared" si="15"/>
        <v>33571.156428000002</v>
      </c>
      <c r="AJ21" s="702">
        <f t="shared" si="16"/>
        <v>0</v>
      </c>
    </row>
    <row r="22" spans="2:36" s="409" customFormat="1" ht="14.25">
      <c r="B22" s="526" t="str">
        <f>'Orçamento Resumo'!A22</f>
        <v>11</v>
      </c>
      <c r="C22" s="527" t="str">
        <f>'Orçamento Resumo'!B22</f>
        <v>REVESTIMENTO</v>
      </c>
      <c r="D22" s="528">
        <f>'Orçamento Resumo'!C22</f>
        <v>143775.51</v>
      </c>
      <c r="E22" s="529">
        <f>'Orçamento Resumo'!D22</f>
        <v>8.186874544079116E-2</v>
      </c>
      <c r="F22" s="528">
        <f>D22*'Orçamento Sintético'!$F$338</f>
        <v>36260.183621999997</v>
      </c>
      <c r="G22" s="522">
        <f t="shared" si="13"/>
        <v>180035.69362199999</v>
      </c>
      <c r="H22" s="530"/>
      <c r="I22" s="531">
        <f t="shared" si="0"/>
        <v>0</v>
      </c>
      <c r="J22" s="530"/>
      <c r="K22" s="531">
        <f t="shared" si="1"/>
        <v>0</v>
      </c>
      <c r="L22" s="530"/>
      <c r="M22" s="531">
        <f t="shared" si="2"/>
        <v>0</v>
      </c>
      <c r="N22" s="530"/>
      <c r="O22" s="531">
        <f t="shared" si="3"/>
        <v>0</v>
      </c>
      <c r="P22" s="530"/>
      <c r="Q22" s="531">
        <f t="shared" si="4"/>
        <v>0</v>
      </c>
      <c r="R22" s="530"/>
      <c r="S22" s="531">
        <f t="shared" si="5"/>
        <v>0</v>
      </c>
      <c r="T22" s="530"/>
      <c r="U22" s="531">
        <f t="shared" si="6"/>
        <v>0</v>
      </c>
      <c r="V22" s="530">
        <v>0.15</v>
      </c>
      <c r="W22" s="531">
        <f t="shared" si="7"/>
        <v>27005.354043299998</v>
      </c>
      <c r="X22" s="530">
        <v>0.25</v>
      </c>
      <c r="Y22" s="531">
        <f t="shared" si="8"/>
        <v>45008.923405499998</v>
      </c>
      <c r="Z22" s="530">
        <v>0.1</v>
      </c>
      <c r="AA22" s="531">
        <f t="shared" si="9"/>
        <v>18003.5693622</v>
      </c>
      <c r="AB22" s="530">
        <v>0.3</v>
      </c>
      <c r="AC22" s="531">
        <f t="shared" si="10"/>
        <v>54010.708086599996</v>
      </c>
      <c r="AD22" s="530">
        <v>0.2</v>
      </c>
      <c r="AE22" s="531">
        <f t="shared" si="11"/>
        <v>36007.1387244</v>
      </c>
      <c r="AF22" s="530"/>
      <c r="AG22" s="532">
        <f t="shared" si="12"/>
        <v>0</v>
      </c>
      <c r="AH22" s="701">
        <f t="shared" si="14"/>
        <v>1</v>
      </c>
      <c r="AI22" s="702">
        <f t="shared" si="15"/>
        <v>180035.69362199999</v>
      </c>
      <c r="AJ22" s="702">
        <f t="shared" si="16"/>
        <v>0</v>
      </c>
    </row>
    <row r="23" spans="2:36" s="409" customFormat="1" ht="14.25">
      <c r="B23" s="526" t="str">
        <f>'Orçamento Resumo'!A23</f>
        <v>12</v>
      </c>
      <c r="C23" s="527" t="str">
        <f>'Orçamento Resumo'!B23</f>
        <v>PAVIMENTAÇÃO</v>
      </c>
      <c r="D23" s="528">
        <f>'Orçamento Resumo'!C23</f>
        <v>116089.81</v>
      </c>
      <c r="E23" s="529">
        <f>'Orçamento Resumo'!D23</f>
        <v>6.610393594263593E-2</v>
      </c>
      <c r="F23" s="528">
        <f>D23*'Orçamento Sintético'!$F$338</f>
        <v>29277.850081999997</v>
      </c>
      <c r="G23" s="522">
        <f t="shared" si="13"/>
        <v>145367.66008199999</v>
      </c>
      <c r="H23" s="530"/>
      <c r="I23" s="531">
        <f t="shared" si="0"/>
        <v>0</v>
      </c>
      <c r="J23" s="530"/>
      <c r="K23" s="531">
        <f t="shared" si="1"/>
        <v>0</v>
      </c>
      <c r="L23" s="530"/>
      <c r="M23" s="531">
        <f t="shared" si="2"/>
        <v>0</v>
      </c>
      <c r="N23" s="530"/>
      <c r="O23" s="531">
        <f t="shared" si="3"/>
        <v>0</v>
      </c>
      <c r="P23" s="530"/>
      <c r="Q23" s="531">
        <f t="shared" si="4"/>
        <v>0</v>
      </c>
      <c r="R23" s="530"/>
      <c r="S23" s="531">
        <f t="shared" si="5"/>
        <v>0</v>
      </c>
      <c r="T23" s="530"/>
      <c r="U23" s="531">
        <f t="shared" si="6"/>
        <v>0</v>
      </c>
      <c r="V23" s="530">
        <v>0.2</v>
      </c>
      <c r="W23" s="531">
        <f t="shared" si="7"/>
        <v>29073.5320164</v>
      </c>
      <c r="X23" s="530">
        <v>0.35</v>
      </c>
      <c r="Y23" s="531">
        <f t="shared" si="8"/>
        <v>50878.68102869999</v>
      </c>
      <c r="Z23" s="530">
        <v>0.2</v>
      </c>
      <c r="AA23" s="531">
        <f t="shared" si="9"/>
        <v>29073.5320164</v>
      </c>
      <c r="AB23" s="530">
        <v>0.15</v>
      </c>
      <c r="AC23" s="531">
        <f t="shared" si="10"/>
        <v>21805.149012299997</v>
      </c>
      <c r="AD23" s="530">
        <v>0.1</v>
      </c>
      <c r="AE23" s="531">
        <f t="shared" si="11"/>
        <v>14536.7660082</v>
      </c>
      <c r="AF23" s="530"/>
      <c r="AG23" s="532">
        <f t="shared" si="12"/>
        <v>0</v>
      </c>
      <c r="AH23" s="701">
        <f t="shared" si="14"/>
        <v>1</v>
      </c>
      <c r="AI23" s="702">
        <f t="shared" si="15"/>
        <v>145367.66008199999</v>
      </c>
      <c r="AJ23" s="702">
        <f t="shared" si="16"/>
        <v>0</v>
      </c>
    </row>
    <row r="24" spans="2:36" s="409" customFormat="1" ht="14.25">
      <c r="B24" s="526" t="str">
        <f>'Orçamento Resumo'!A24</f>
        <v>13</v>
      </c>
      <c r="C24" s="527" t="str">
        <f>'Orçamento Resumo'!B24</f>
        <v>INSTALAÇÕES HIDRO-SANITÁRIAS</v>
      </c>
      <c r="D24" s="528">
        <f>'Orçamento Resumo'!C24</f>
        <v>20717.98</v>
      </c>
      <c r="E24" s="529">
        <f>'Orçamento Resumo'!D24</f>
        <v>1.1797245794276106E-2</v>
      </c>
      <c r="F24" s="528">
        <f>D24*'Orçamento Sintético'!$F$338</f>
        <v>5225.0745559999996</v>
      </c>
      <c r="G24" s="522">
        <f t="shared" si="13"/>
        <v>25943.054555999999</v>
      </c>
      <c r="H24" s="530"/>
      <c r="I24" s="531">
        <f t="shared" si="0"/>
        <v>0</v>
      </c>
      <c r="J24" s="530"/>
      <c r="K24" s="531">
        <f t="shared" si="1"/>
        <v>0</v>
      </c>
      <c r="L24" s="530"/>
      <c r="M24" s="531">
        <f t="shared" si="2"/>
        <v>0</v>
      </c>
      <c r="N24" s="530"/>
      <c r="O24" s="531">
        <f t="shared" si="3"/>
        <v>0</v>
      </c>
      <c r="P24" s="530"/>
      <c r="Q24" s="531">
        <f t="shared" si="4"/>
        <v>0</v>
      </c>
      <c r="R24" s="530"/>
      <c r="S24" s="531">
        <f t="shared" si="5"/>
        <v>0</v>
      </c>
      <c r="T24" s="530"/>
      <c r="U24" s="531">
        <f t="shared" si="6"/>
        <v>0</v>
      </c>
      <c r="V24" s="530">
        <v>0.1</v>
      </c>
      <c r="W24" s="531">
        <f t="shared" si="7"/>
        <v>2594.3054556000002</v>
      </c>
      <c r="X24" s="530">
        <v>0.4</v>
      </c>
      <c r="Y24" s="531">
        <f t="shared" si="8"/>
        <v>10377.221822400001</v>
      </c>
      <c r="Z24" s="530">
        <v>0.2</v>
      </c>
      <c r="AA24" s="531">
        <f t="shared" si="9"/>
        <v>5188.6109112000004</v>
      </c>
      <c r="AB24" s="530">
        <v>0.2</v>
      </c>
      <c r="AC24" s="531">
        <f t="shared" si="10"/>
        <v>5188.6109112000004</v>
      </c>
      <c r="AD24" s="530">
        <v>0.03</v>
      </c>
      <c r="AE24" s="531">
        <f t="shared" si="11"/>
        <v>778.2916366799999</v>
      </c>
      <c r="AF24" s="530">
        <v>7.0000000000000007E-2</v>
      </c>
      <c r="AG24" s="532">
        <f t="shared" si="12"/>
        <v>1816.0138189200002</v>
      </c>
      <c r="AH24" s="701">
        <f t="shared" si="14"/>
        <v>1</v>
      </c>
      <c r="AI24" s="702">
        <f t="shared" si="15"/>
        <v>25943.054556000003</v>
      </c>
      <c r="AJ24" s="702">
        <f t="shared" si="16"/>
        <v>0</v>
      </c>
    </row>
    <row r="25" spans="2:36" s="409" customFormat="1" ht="14.25">
      <c r="B25" s="526" t="str">
        <f>'Orçamento Resumo'!A25</f>
        <v>14</v>
      </c>
      <c r="C25" s="527" t="str">
        <f>'Orçamento Resumo'!B25</f>
        <v xml:space="preserve">INSTALAÇÕES ELÉTRICAS </v>
      </c>
      <c r="D25" s="528">
        <f>'Orçamento Resumo'!C25</f>
        <v>188351.44</v>
      </c>
      <c r="E25" s="529">
        <f>'Orçamento Resumo'!D25</f>
        <v>0.10725120081136523</v>
      </c>
      <c r="F25" s="528">
        <f>D25*'Orçamento Sintético'!$F$338</f>
        <v>47502.233167999999</v>
      </c>
      <c r="G25" s="522">
        <f t="shared" si="13"/>
        <v>235853.67316800001</v>
      </c>
      <c r="H25" s="530"/>
      <c r="I25" s="531">
        <f t="shared" si="0"/>
        <v>0</v>
      </c>
      <c r="J25" s="530"/>
      <c r="K25" s="531">
        <f t="shared" si="1"/>
        <v>0</v>
      </c>
      <c r="L25" s="530"/>
      <c r="M25" s="531">
        <f t="shared" si="2"/>
        <v>0</v>
      </c>
      <c r="N25" s="530"/>
      <c r="O25" s="531">
        <f t="shared" si="3"/>
        <v>0</v>
      </c>
      <c r="P25" s="530"/>
      <c r="Q25" s="531">
        <f t="shared" si="4"/>
        <v>0</v>
      </c>
      <c r="R25" s="530"/>
      <c r="S25" s="531">
        <f t="shared" si="5"/>
        <v>0</v>
      </c>
      <c r="T25" s="530"/>
      <c r="U25" s="531">
        <f t="shared" si="6"/>
        <v>0</v>
      </c>
      <c r="V25" s="530">
        <v>0.2</v>
      </c>
      <c r="W25" s="531">
        <f t="shared" si="7"/>
        <v>47170.734633600005</v>
      </c>
      <c r="X25" s="530">
        <v>0.4</v>
      </c>
      <c r="Y25" s="531">
        <f t="shared" si="8"/>
        <v>94341.469267200009</v>
      </c>
      <c r="Z25" s="530">
        <v>0.1</v>
      </c>
      <c r="AA25" s="531">
        <f t="shared" si="9"/>
        <v>23585.367316800002</v>
      </c>
      <c r="AB25" s="530"/>
      <c r="AC25" s="531">
        <f t="shared" si="10"/>
        <v>0</v>
      </c>
      <c r="AD25" s="530">
        <v>0.19</v>
      </c>
      <c r="AE25" s="531">
        <f t="shared" si="11"/>
        <v>44812.197901920001</v>
      </c>
      <c r="AF25" s="530">
        <v>0.11</v>
      </c>
      <c r="AG25" s="532">
        <f t="shared" si="12"/>
        <v>25943.904048480003</v>
      </c>
      <c r="AH25" s="701">
        <f t="shared" si="14"/>
        <v>1</v>
      </c>
      <c r="AI25" s="702">
        <f t="shared" si="15"/>
        <v>235853.67316800001</v>
      </c>
      <c r="AJ25" s="702">
        <f t="shared" si="16"/>
        <v>0</v>
      </c>
    </row>
    <row r="26" spans="2:36" s="1" customFormat="1" ht="14.25">
      <c r="B26" s="694" t="str">
        <f>'Orçamento Resumo'!A26</f>
        <v>15</v>
      </c>
      <c r="C26" s="695" t="str">
        <f>'Orçamento Resumo'!B26</f>
        <v>SISTEMAS CONTRA DESCARGA ATMOSFERICA</v>
      </c>
      <c r="D26" s="696">
        <f>'Orçamento Resumo'!C26</f>
        <v>19885.580000000002</v>
      </c>
      <c r="E26" s="697">
        <f>'Orçamento Resumo'!D26</f>
        <v>1.132326003894883E-2</v>
      </c>
      <c r="F26" s="696">
        <f>D26*'Orçamento Sintético'!$F$338</f>
        <v>5015.1432759999998</v>
      </c>
      <c r="G26" s="522">
        <f t="shared" si="13"/>
        <v>24900.723276000001</v>
      </c>
      <c r="H26" s="698"/>
      <c r="I26" s="699">
        <f t="shared" si="0"/>
        <v>0</v>
      </c>
      <c r="J26" s="698"/>
      <c r="K26" s="699">
        <f t="shared" si="1"/>
        <v>0</v>
      </c>
      <c r="L26" s="698"/>
      <c r="M26" s="699">
        <f t="shared" si="2"/>
        <v>0</v>
      </c>
      <c r="N26" s="698"/>
      <c r="O26" s="699">
        <f t="shared" si="3"/>
        <v>0</v>
      </c>
      <c r="P26" s="698"/>
      <c r="Q26" s="699">
        <f t="shared" si="4"/>
        <v>0</v>
      </c>
      <c r="R26" s="698"/>
      <c r="S26" s="699">
        <f t="shared" si="5"/>
        <v>0</v>
      </c>
      <c r="T26" s="698"/>
      <c r="U26" s="699">
        <f t="shared" si="6"/>
        <v>0</v>
      </c>
      <c r="V26" s="698"/>
      <c r="W26" s="699">
        <f t="shared" si="7"/>
        <v>0</v>
      </c>
      <c r="X26" s="698"/>
      <c r="Y26" s="699">
        <f t="shared" si="8"/>
        <v>0</v>
      </c>
      <c r="Z26" s="698"/>
      <c r="AA26" s="699">
        <f t="shared" si="9"/>
        <v>0</v>
      </c>
      <c r="AB26" s="698"/>
      <c r="AC26" s="699">
        <f t="shared" si="10"/>
        <v>0</v>
      </c>
      <c r="AD26" s="698">
        <v>0.5</v>
      </c>
      <c r="AE26" s="699">
        <f t="shared" si="11"/>
        <v>12450.361638</v>
      </c>
      <c r="AF26" s="698">
        <v>0.5</v>
      </c>
      <c r="AG26" s="700">
        <f t="shared" si="12"/>
        <v>12450.361638</v>
      </c>
      <c r="AH26" s="701">
        <f t="shared" si="14"/>
        <v>1</v>
      </c>
      <c r="AI26" s="702">
        <f t="shared" si="15"/>
        <v>24900.723276000001</v>
      </c>
      <c r="AJ26" s="702">
        <f t="shared" si="16"/>
        <v>0</v>
      </c>
    </row>
    <row r="27" spans="2:36" s="409" customFormat="1" ht="14.25">
      <c r="B27" s="526" t="str">
        <f>'Orçamento Resumo'!A27</f>
        <v>16</v>
      </c>
      <c r="C27" s="527" t="str">
        <f>'Orçamento Resumo'!B27</f>
        <v>INSTALAÇÃO DE COMBATE A INCÊNDIO E PÂNICO</v>
      </c>
      <c r="D27" s="528">
        <f>'Orçamento Resumo'!C27</f>
        <v>8941.0499999999993</v>
      </c>
      <c r="E27" s="529">
        <f>'Orçamento Resumo'!D27</f>
        <v>5.0912185700011476E-3</v>
      </c>
      <c r="F27" s="528">
        <f>D27*'Orçamento Sintético'!$F$338</f>
        <v>2254.9328099999998</v>
      </c>
      <c r="G27" s="522">
        <f t="shared" si="13"/>
        <v>11195.98281</v>
      </c>
      <c r="H27" s="530"/>
      <c r="I27" s="531">
        <f t="shared" si="0"/>
        <v>0</v>
      </c>
      <c r="J27" s="530"/>
      <c r="K27" s="531">
        <f t="shared" si="1"/>
        <v>0</v>
      </c>
      <c r="L27" s="530"/>
      <c r="M27" s="531">
        <f t="shared" si="2"/>
        <v>0</v>
      </c>
      <c r="N27" s="530"/>
      <c r="O27" s="531">
        <f t="shared" si="3"/>
        <v>0</v>
      </c>
      <c r="P27" s="530"/>
      <c r="Q27" s="531">
        <f t="shared" si="4"/>
        <v>0</v>
      </c>
      <c r="R27" s="530"/>
      <c r="S27" s="531">
        <f t="shared" si="5"/>
        <v>0</v>
      </c>
      <c r="T27" s="530"/>
      <c r="U27" s="531">
        <f t="shared" si="6"/>
        <v>0</v>
      </c>
      <c r="V27" s="530"/>
      <c r="W27" s="531">
        <f t="shared" si="7"/>
        <v>0</v>
      </c>
      <c r="X27" s="530"/>
      <c r="Y27" s="531">
        <f t="shared" si="8"/>
        <v>0</v>
      </c>
      <c r="Z27" s="530"/>
      <c r="AA27" s="531">
        <f t="shared" si="9"/>
        <v>0</v>
      </c>
      <c r="AB27" s="530">
        <v>0.25</v>
      </c>
      <c r="AC27" s="531">
        <f t="shared" si="10"/>
        <v>2798.9957024999999</v>
      </c>
      <c r="AD27" s="530">
        <v>0.25</v>
      </c>
      <c r="AE27" s="531">
        <f t="shared" si="11"/>
        <v>2798.9957024999999</v>
      </c>
      <c r="AF27" s="530">
        <v>0.5</v>
      </c>
      <c r="AG27" s="532">
        <f t="shared" si="12"/>
        <v>5597.9914049999998</v>
      </c>
      <c r="AH27" s="701">
        <f t="shared" si="14"/>
        <v>1</v>
      </c>
      <c r="AI27" s="702">
        <f t="shared" si="15"/>
        <v>11195.98281</v>
      </c>
      <c r="AJ27" s="702">
        <f t="shared" si="16"/>
        <v>0</v>
      </c>
    </row>
    <row r="28" spans="2:36" s="409" customFormat="1" ht="14.25">
      <c r="B28" s="526" t="str">
        <f>'Orçamento Resumo'!A28</f>
        <v>17</v>
      </c>
      <c r="C28" s="527" t="str">
        <f>'Orçamento Resumo'!B28</f>
        <v>CABEAMENTO ESTRUTURADO E TELEFÔNICO</v>
      </c>
      <c r="D28" s="528">
        <f>'Orçamento Resumo'!C28</f>
        <v>26764.69</v>
      </c>
      <c r="E28" s="529">
        <f>'Orçamento Resumo'!D28</f>
        <v>1.5240367378364287E-2</v>
      </c>
      <c r="F28" s="528">
        <f>D28*'Orçamento Sintético'!$F$338</f>
        <v>6750.0548179999987</v>
      </c>
      <c r="G28" s="522">
        <f t="shared" si="13"/>
        <v>33514.744817999999</v>
      </c>
      <c r="H28" s="530"/>
      <c r="I28" s="531">
        <f t="shared" si="0"/>
        <v>0</v>
      </c>
      <c r="J28" s="530"/>
      <c r="K28" s="531">
        <f t="shared" si="1"/>
        <v>0</v>
      </c>
      <c r="L28" s="530"/>
      <c r="M28" s="531">
        <f t="shared" si="2"/>
        <v>0</v>
      </c>
      <c r="N28" s="530"/>
      <c r="O28" s="531">
        <f t="shared" si="3"/>
        <v>0</v>
      </c>
      <c r="P28" s="530"/>
      <c r="Q28" s="531">
        <f t="shared" si="4"/>
        <v>0</v>
      </c>
      <c r="R28" s="530"/>
      <c r="S28" s="531">
        <f t="shared" si="5"/>
        <v>0</v>
      </c>
      <c r="T28" s="530"/>
      <c r="U28" s="531">
        <f t="shared" si="6"/>
        <v>0</v>
      </c>
      <c r="V28" s="530"/>
      <c r="W28" s="531">
        <f t="shared" si="7"/>
        <v>0</v>
      </c>
      <c r="X28" s="530">
        <v>0.3</v>
      </c>
      <c r="Y28" s="531">
        <f t="shared" si="8"/>
        <v>10054.4234454</v>
      </c>
      <c r="Z28" s="530">
        <v>0.3</v>
      </c>
      <c r="AA28" s="531">
        <f t="shared" si="9"/>
        <v>10054.4234454</v>
      </c>
      <c r="AB28" s="530">
        <v>0.4</v>
      </c>
      <c r="AC28" s="531">
        <f t="shared" si="10"/>
        <v>13405.8979272</v>
      </c>
      <c r="AD28" s="530"/>
      <c r="AE28" s="531">
        <f t="shared" si="11"/>
        <v>0</v>
      </c>
      <c r="AF28" s="530"/>
      <c r="AG28" s="532">
        <f t="shared" si="12"/>
        <v>0</v>
      </c>
      <c r="AH28" s="701">
        <f t="shared" si="14"/>
        <v>1</v>
      </c>
      <c r="AI28" s="702">
        <f t="shared" si="15"/>
        <v>33514.744817999999</v>
      </c>
      <c r="AJ28" s="702">
        <f t="shared" si="16"/>
        <v>0</v>
      </c>
    </row>
    <row r="29" spans="2:36" s="409" customFormat="1" ht="14.25">
      <c r="B29" s="526" t="str">
        <f>'Orçamento Resumo'!A29</f>
        <v>18</v>
      </c>
      <c r="C29" s="527" t="str">
        <f>'Orçamento Resumo'!B29</f>
        <v>INSTALAÇÕES DE CLIMATIZAÇÃO</v>
      </c>
      <c r="D29" s="528">
        <f>'Orçamento Resumo'!C29</f>
        <v>21039.26</v>
      </c>
      <c r="E29" s="529">
        <f>'Orçamento Resumo'!D29</f>
        <v>1.1980189263127076E-2</v>
      </c>
      <c r="F29" s="528">
        <f>D29*'Orçamento Sintético'!$F$338</f>
        <v>5306.1013719999992</v>
      </c>
      <c r="G29" s="522">
        <f t="shared" si="13"/>
        <v>26345.361371999999</v>
      </c>
      <c r="H29" s="530"/>
      <c r="I29" s="531">
        <f t="shared" si="0"/>
        <v>0</v>
      </c>
      <c r="J29" s="530"/>
      <c r="K29" s="531">
        <f t="shared" si="1"/>
        <v>0</v>
      </c>
      <c r="L29" s="530"/>
      <c r="M29" s="531">
        <f t="shared" si="2"/>
        <v>0</v>
      </c>
      <c r="N29" s="530"/>
      <c r="O29" s="531">
        <f t="shared" si="3"/>
        <v>0</v>
      </c>
      <c r="P29" s="530"/>
      <c r="Q29" s="531">
        <f t="shared" si="4"/>
        <v>0</v>
      </c>
      <c r="R29" s="530"/>
      <c r="S29" s="531">
        <f t="shared" si="5"/>
        <v>0</v>
      </c>
      <c r="T29" s="530"/>
      <c r="U29" s="531">
        <f t="shared" si="6"/>
        <v>0</v>
      </c>
      <c r="V29" s="530">
        <v>0.2</v>
      </c>
      <c r="W29" s="531">
        <f t="shared" si="7"/>
        <v>5269.0722744000004</v>
      </c>
      <c r="X29" s="530">
        <v>0.3</v>
      </c>
      <c r="Y29" s="531">
        <f t="shared" si="8"/>
        <v>7903.6084115999993</v>
      </c>
      <c r="Z29" s="530">
        <v>0.5</v>
      </c>
      <c r="AA29" s="531">
        <f t="shared" si="9"/>
        <v>13172.680686</v>
      </c>
      <c r="AB29" s="530"/>
      <c r="AC29" s="531">
        <f t="shared" si="10"/>
        <v>0</v>
      </c>
      <c r="AD29" s="530"/>
      <c r="AE29" s="531">
        <f t="shared" si="11"/>
        <v>0</v>
      </c>
      <c r="AF29" s="530"/>
      <c r="AG29" s="532">
        <f t="shared" si="12"/>
        <v>0</v>
      </c>
      <c r="AH29" s="701">
        <f t="shared" si="14"/>
        <v>1</v>
      </c>
      <c r="AI29" s="702">
        <f t="shared" si="15"/>
        <v>26345.361371999999</v>
      </c>
      <c r="AJ29" s="702">
        <f t="shared" si="16"/>
        <v>0</v>
      </c>
    </row>
    <row r="30" spans="2:36" s="409" customFormat="1" ht="14.25">
      <c r="B30" s="526" t="str">
        <f>'Orçamento Resumo'!A30</f>
        <v>19</v>
      </c>
      <c r="C30" s="527" t="str">
        <f>'Orçamento Resumo'!B30</f>
        <v>PINTURA</v>
      </c>
      <c r="D30" s="528">
        <f>'Orçamento Resumo'!C30</f>
        <v>60910.95</v>
      </c>
      <c r="E30" s="529">
        <f>'Orçamento Resumo'!D30</f>
        <v>3.4683953199726142E-2</v>
      </c>
      <c r="F30" s="528">
        <f>D30*'Orçamento Sintético'!$F$338</f>
        <v>15361.741589999998</v>
      </c>
      <c r="G30" s="522">
        <f t="shared" si="13"/>
        <v>76272.691590000002</v>
      </c>
      <c r="H30" s="530"/>
      <c r="I30" s="531">
        <f t="shared" si="0"/>
        <v>0</v>
      </c>
      <c r="J30" s="530"/>
      <c r="K30" s="531">
        <f t="shared" si="1"/>
        <v>0</v>
      </c>
      <c r="L30" s="530"/>
      <c r="M30" s="531">
        <f t="shared" si="2"/>
        <v>0</v>
      </c>
      <c r="N30" s="530"/>
      <c r="O30" s="531">
        <f t="shared" si="3"/>
        <v>0</v>
      </c>
      <c r="P30" s="530"/>
      <c r="Q30" s="531">
        <f t="shared" si="4"/>
        <v>0</v>
      </c>
      <c r="R30" s="530"/>
      <c r="S30" s="531">
        <f t="shared" si="5"/>
        <v>0</v>
      </c>
      <c r="T30" s="530"/>
      <c r="U30" s="531">
        <f t="shared" si="6"/>
        <v>0</v>
      </c>
      <c r="V30" s="530"/>
      <c r="W30" s="531">
        <f t="shared" si="7"/>
        <v>0</v>
      </c>
      <c r="X30" s="530"/>
      <c r="Y30" s="531">
        <f t="shared" si="8"/>
        <v>0</v>
      </c>
      <c r="Z30" s="530"/>
      <c r="AA30" s="531">
        <f t="shared" si="9"/>
        <v>0</v>
      </c>
      <c r="AB30" s="530"/>
      <c r="AC30" s="531">
        <f t="shared" si="10"/>
        <v>0</v>
      </c>
      <c r="AD30" s="530">
        <v>0.3</v>
      </c>
      <c r="AE30" s="531">
        <f t="shared" si="11"/>
        <v>22881.807476999998</v>
      </c>
      <c r="AF30" s="530">
        <v>0.7</v>
      </c>
      <c r="AG30" s="532">
        <f t="shared" si="12"/>
        <v>53390.884113</v>
      </c>
      <c r="AH30" s="701">
        <f t="shared" si="14"/>
        <v>1</v>
      </c>
      <c r="AI30" s="702">
        <f t="shared" si="15"/>
        <v>76272.691590000002</v>
      </c>
      <c r="AJ30" s="702">
        <f t="shared" si="16"/>
        <v>0</v>
      </c>
    </row>
    <row r="31" spans="2:36" s="410" customFormat="1" ht="14.25">
      <c r="B31" s="526" t="str">
        <f>'Orçamento Resumo'!A31</f>
        <v>20</v>
      </c>
      <c r="C31" s="527" t="str">
        <f>'Orçamento Resumo'!B31</f>
        <v>BANCADAS, LOUÇAS, METAIS E ACESSÓRIOS</v>
      </c>
      <c r="D31" s="528">
        <f>'Orçamento Resumo'!C31</f>
        <v>9754.2000000000007</v>
      </c>
      <c r="E31" s="529">
        <f>'Orçamento Resumo'!D31</f>
        <v>5.5542429776709893E-3</v>
      </c>
      <c r="F31" s="528">
        <f>D31*'Orçamento Sintético'!$F$338</f>
        <v>2460.0092399999999</v>
      </c>
      <c r="G31" s="522">
        <f t="shared" si="13"/>
        <v>12214.20924</v>
      </c>
      <c r="H31" s="530"/>
      <c r="I31" s="531">
        <f t="shared" si="0"/>
        <v>0</v>
      </c>
      <c r="J31" s="530"/>
      <c r="K31" s="531">
        <f t="shared" si="1"/>
        <v>0</v>
      </c>
      <c r="L31" s="530"/>
      <c r="M31" s="531">
        <f t="shared" si="2"/>
        <v>0</v>
      </c>
      <c r="N31" s="530"/>
      <c r="O31" s="531">
        <f t="shared" si="3"/>
        <v>0</v>
      </c>
      <c r="P31" s="530"/>
      <c r="Q31" s="531">
        <f t="shared" si="4"/>
        <v>0</v>
      </c>
      <c r="R31" s="530"/>
      <c r="S31" s="531">
        <f t="shared" si="5"/>
        <v>0</v>
      </c>
      <c r="T31" s="530"/>
      <c r="U31" s="531">
        <f t="shared" si="6"/>
        <v>0</v>
      </c>
      <c r="V31" s="530"/>
      <c r="W31" s="531">
        <f t="shared" si="7"/>
        <v>0</v>
      </c>
      <c r="X31" s="530"/>
      <c r="Y31" s="531">
        <f t="shared" si="8"/>
        <v>0</v>
      </c>
      <c r="Z31" s="530"/>
      <c r="AA31" s="531">
        <f t="shared" si="9"/>
        <v>0</v>
      </c>
      <c r="AB31" s="530"/>
      <c r="AC31" s="531">
        <f t="shared" si="10"/>
        <v>0</v>
      </c>
      <c r="AD31" s="530">
        <v>0.3</v>
      </c>
      <c r="AE31" s="531">
        <f t="shared" si="11"/>
        <v>3664.262772</v>
      </c>
      <c r="AF31" s="530">
        <v>0.7</v>
      </c>
      <c r="AG31" s="532">
        <f t="shared" si="12"/>
        <v>8549.9464680000001</v>
      </c>
      <c r="AH31" s="701">
        <f t="shared" si="14"/>
        <v>1</v>
      </c>
      <c r="AI31" s="702">
        <f t="shared" si="15"/>
        <v>12214.20924</v>
      </c>
      <c r="AJ31" s="702">
        <f t="shared" si="16"/>
        <v>0</v>
      </c>
    </row>
    <row r="32" spans="2:36" s="411" customFormat="1" ht="14.25">
      <c r="B32" s="526" t="str">
        <f>'Orçamento Resumo'!A32</f>
        <v>21</v>
      </c>
      <c r="C32" s="527" t="str">
        <f>'Orçamento Resumo'!B32</f>
        <v>SERVIÇOS COMPLEMENTARES</v>
      </c>
      <c r="D32" s="528">
        <f>'Orçamento Resumo'!C32</f>
        <v>48551.66</v>
      </c>
      <c r="E32" s="529">
        <f>'Orçamento Resumo'!D32</f>
        <v>2.7646318161332499E-2</v>
      </c>
      <c r="F32" s="528">
        <f>D32*'Orçamento Sintético'!$F$338</f>
        <v>12244.728652</v>
      </c>
      <c r="G32" s="522">
        <f t="shared" si="13"/>
        <v>60796.388652000001</v>
      </c>
      <c r="H32" s="530"/>
      <c r="I32" s="531">
        <f t="shared" si="0"/>
        <v>0</v>
      </c>
      <c r="J32" s="530"/>
      <c r="K32" s="531">
        <f t="shared" si="1"/>
        <v>0</v>
      </c>
      <c r="L32" s="530"/>
      <c r="M32" s="531">
        <f t="shared" si="2"/>
        <v>0</v>
      </c>
      <c r="N32" s="530"/>
      <c r="O32" s="531">
        <f t="shared" si="3"/>
        <v>0</v>
      </c>
      <c r="P32" s="530"/>
      <c r="Q32" s="531">
        <f t="shared" si="4"/>
        <v>0</v>
      </c>
      <c r="R32" s="530">
        <v>0.5</v>
      </c>
      <c r="S32" s="531">
        <f t="shared" si="5"/>
        <v>30398.194326000001</v>
      </c>
      <c r="T32" s="530"/>
      <c r="U32" s="531">
        <f t="shared" si="6"/>
        <v>0</v>
      </c>
      <c r="V32" s="530"/>
      <c r="W32" s="531">
        <f t="shared" si="7"/>
        <v>0</v>
      </c>
      <c r="X32" s="530"/>
      <c r="Y32" s="531">
        <f t="shared" si="8"/>
        <v>0</v>
      </c>
      <c r="Z32" s="530"/>
      <c r="AA32" s="531">
        <f t="shared" si="9"/>
        <v>0</v>
      </c>
      <c r="AB32" s="530"/>
      <c r="AC32" s="531">
        <f t="shared" si="10"/>
        <v>0</v>
      </c>
      <c r="AD32" s="530"/>
      <c r="AE32" s="531">
        <f t="shared" si="11"/>
        <v>0</v>
      </c>
      <c r="AF32" s="530">
        <v>0.5</v>
      </c>
      <c r="AG32" s="532">
        <f t="shared" si="12"/>
        <v>30398.194326000001</v>
      </c>
      <c r="AH32" s="701">
        <f t="shared" si="14"/>
        <v>1</v>
      </c>
      <c r="AI32" s="702">
        <f t="shared" si="15"/>
        <v>60796.388652000001</v>
      </c>
      <c r="AJ32" s="702">
        <f t="shared" si="16"/>
        <v>0</v>
      </c>
    </row>
    <row r="33" spans="1:36" ht="15" thickBot="1">
      <c r="A33" s="1"/>
      <c r="B33" s="694" t="str">
        <f>'Orçamento Resumo'!A33</f>
        <v>22</v>
      </c>
      <c r="C33" s="695" t="str">
        <f>'Orçamento Resumo'!B33</f>
        <v>ADMINISTRAÇÃO DA OBRA</v>
      </c>
      <c r="D33" s="696">
        <f>'Orçamento Resumo'!C33</f>
        <v>100027.2</v>
      </c>
      <c r="E33" s="697">
        <f>'Orçamento Resumo'!D33</f>
        <v>5.6957553994801374E-2</v>
      </c>
      <c r="F33" s="696">
        <f>D33*'Orçamento Sintético'!$F$338</f>
        <v>25226.859839999997</v>
      </c>
      <c r="G33" s="522">
        <f t="shared" si="13"/>
        <v>125254.05984</v>
      </c>
      <c r="H33" s="698"/>
      <c r="I33" s="699">
        <f t="shared" si="0"/>
        <v>0</v>
      </c>
      <c r="J33" s="698"/>
      <c r="K33" s="699">
        <f t="shared" si="1"/>
        <v>0</v>
      </c>
      <c r="L33" s="698"/>
      <c r="M33" s="699">
        <f t="shared" si="2"/>
        <v>0</v>
      </c>
      <c r="N33" s="698"/>
      <c r="O33" s="699">
        <f t="shared" si="3"/>
        <v>0</v>
      </c>
      <c r="P33" s="698"/>
      <c r="Q33" s="699">
        <f t="shared" si="4"/>
        <v>0</v>
      </c>
      <c r="R33" s="698">
        <v>0.125</v>
      </c>
      <c r="S33" s="699">
        <f t="shared" si="5"/>
        <v>15656.75748</v>
      </c>
      <c r="T33" s="698">
        <v>0.125</v>
      </c>
      <c r="U33" s="699">
        <f t="shared" si="6"/>
        <v>15656.75748</v>
      </c>
      <c r="V33" s="698">
        <v>0.125</v>
      </c>
      <c r="W33" s="699">
        <f t="shared" si="7"/>
        <v>15656.75748</v>
      </c>
      <c r="X33" s="698">
        <v>0.125</v>
      </c>
      <c r="Y33" s="699">
        <f t="shared" si="8"/>
        <v>15656.75748</v>
      </c>
      <c r="Z33" s="698">
        <v>0.125</v>
      </c>
      <c r="AA33" s="699">
        <f t="shared" si="9"/>
        <v>15656.75748</v>
      </c>
      <c r="AB33" s="698">
        <v>0.125</v>
      </c>
      <c r="AC33" s="699">
        <f t="shared" si="10"/>
        <v>15656.75748</v>
      </c>
      <c r="AD33" s="698">
        <v>0.125</v>
      </c>
      <c r="AE33" s="699">
        <f t="shared" si="11"/>
        <v>15656.75748</v>
      </c>
      <c r="AF33" s="698">
        <v>0.125</v>
      </c>
      <c r="AG33" s="700">
        <f t="shared" si="12"/>
        <v>15656.75748</v>
      </c>
      <c r="AH33" s="701">
        <f t="shared" si="14"/>
        <v>1</v>
      </c>
      <c r="AI33" s="702">
        <f t="shared" si="15"/>
        <v>125254.05984</v>
      </c>
      <c r="AJ33" s="702">
        <f t="shared" si="16"/>
        <v>0</v>
      </c>
    </row>
    <row r="34" spans="1:36" s="420" customFormat="1" ht="17.25" thickBot="1">
      <c r="A34" s="412"/>
      <c r="B34" s="502"/>
      <c r="C34" s="503" t="s">
        <v>19</v>
      </c>
      <c r="D34" s="504">
        <f>SUM(D12:D33)</f>
        <v>1756170.92</v>
      </c>
      <c r="E34" s="505">
        <f>SUM(E12:E33)</f>
        <v>1.0000000000000002</v>
      </c>
      <c r="F34" s="506">
        <f>SUM(F12:F33)</f>
        <v>442906.30602400005</v>
      </c>
      <c r="G34" s="506">
        <f>SUM(G12:G33)</f>
        <v>2199077.226024</v>
      </c>
      <c r="H34" s="507">
        <f>I34/$G$34</f>
        <v>0</v>
      </c>
      <c r="I34" s="508">
        <f>SUM(I12:I33)</f>
        <v>0</v>
      </c>
      <c r="J34" s="507">
        <f>K34/$G$34</f>
        <v>0</v>
      </c>
      <c r="K34" s="508">
        <f>SUM(K12:K33)</f>
        <v>0</v>
      </c>
      <c r="L34" s="507">
        <f>M34/$G$34</f>
        <v>0</v>
      </c>
      <c r="M34" s="508">
        <f>SUM(M12:M33)</f>
        <v>0</v>
      </c>
      <c r="N34" s="507">
        <f>O34/$G$34</f>
        <v>0</v>
      </c>
      <c r="O34" s="508">
        <f>SUM(O12:O33)</f>
        <v>0</v>
      </c>
      <c r="P34" s="507">
        <f>Q34/$G$34</f>
        <v>0</v>
      </c>
      <c r="Q34" s="508">
        <f>SUM(Q12:Q33)</f>
        <v>0</v>
      </c>
      <c r="R34" s="507">
        <f>S34/$G$34</f>
        <v>6.3008744615814502E-2</v>
      </c>
      <c r="S34" s="509">
        <f>SUM(S12:S33)</f>
        <v>138561.095325</v>
      </c>
      <c r="T34" s="507">
        <f>U34/$G$34</f>
        <v>0.12568098155275229</v>
      </c>
      <c r="U34" s="509">
        <f>SUM(U12:U33)</f>
        <v>276382.18427700002</v>
      </c>
      <c r="V34" s="507">
        <f>W34/$G$34</f>
        <v>0.12725802224307417</v>
      </c>
      <c r="W34" s="509">
        <f>SUM(W12:W33)</f>
        <v>279850.21854360006</v>
      </c>
      <c r="X34" s="507">
        <f>Y34/$G$34</f>
        <v>0.20530262652339101</v>
      </c>
      <c r="Y34" s="509">
        <f>SUM(Y12:Y33)</f>
        <v>451476.33043049998</v>
      </c>
      <c r="Z34" s="507">
        <f>AA34/$G$34</f>
        <v>0.2351481842097693</v>
      </c>
      <c r="AA34" s="509">
        <f>SUM(AA12:AA33)</f>
        <v>517109.01663660002</v>
      </c>
      <c r="AB34" s="507">
        <f>AC34/$G$34</f>
        <v>8.602934844177923E-2</v>
      </c>
      <c r="AC34" s="509">
        <f>SUM(AC12:AC33)</f>
        <v>189185.18092799999</v>
      </c>
      <c r="AD34" s="507">
        <f>AE34/$G$34</f>
        <v>7.8841317734608646E-2</v>
      </c>
      <c r="AE34" s="509">
        <f>SUM(AE12:AE33)</f>
        <v>173378.14629989996</v>
      </c>
      <c r="AF34" s="507">
        <f>AG34/$G$34</f>
        <v>7.8730774678810872E-2</v>
      </c>
      <c r="AG34" s="510">
        <f>SUM(AG12:AG33)</f>
        <v>173135.0535834</v>
      </c>
    </row>
    <row r="35" spans="1:36" s="413" customFormat="1" ht="15" thickBot="1">
      <c r="A35" s="409"/>
      <c r="B35" s="489"/>
      <c r="C35" s="490" t="s">
        <v>33</v>
      </c>
      <c r="D35" s="491"/>
      <c r="E35" s="491"/>
      <c r="F35" s="492"/>
      <c r="G35" s="493"/>
      <c r="H35" s="494">
        <f t="shared" ref="H35:S35" si="17">H34</f>
        <v>0</v>
      </c>
      <c r="I35" s="495">
        <f t="shared" si="17"/>
        <v>0</v>
      </c>
      <c r="J35" s="494">
        <f t="shared" si="17"/>
        <v>0</v>
      </c>
      <c r="K35" s="495">
        <f t="shared" si="17"/>
        <v>0</v>
      </c>
      <c r="L35" s="494">
        <f t="shared" si="17"/>
        <v>0</v>
      </c>
      <c r="M35" s="495">
        <f t="shared" si="17"/>
        <v>0</v>
      </c>
      <c r="N35" s="494">
        <f t="shared" si="17"/>
        <v>0</v>
      </c>
      <c r="O35" s="495">
        <f t="shared" si="17"/>
        <v>0</v>
      </c>
      <c r="P35" s="494">
        <f t="shared" si="17"/>
        <v>0</v>
      </c>
      <c r="Q35" s="495">
        <f t="shared" si="17"/>
        <v>0</v>
      </c>
      <c r="R35" s="494">
        <f t="shared" si="17"/>
        <v>6.3008744615814502E-2</v>
      </c>
      <c r="S35" s="496">
        <f t="shared" si="17"/>
        <v>138561.095325</v>
      </c>
      <c r="T35" s="494">
        <f>T34+R35</f>
        <v>0.18868972616856677</v>
      </c>
      <c r="U35" s="497">
        <f>U34+S35</f>
        <v>414943.27960200002</v>
      </c>
      <c r="V35" s="494">
        <f>V34+T35</f>
        <v>0.31594774841164097</v>
      </c>
      <c r="W35" s="497">
        <f>W34+U35</f>
        <v>694793.49814560008</v>
      </c>
      <c r="X35" s="494">
        <f>X34+V35</f>
        <v>0.52125037493503201</v>
      </c>
      <c r="Y35" s="497">
        <f>Y34+W35</f>
        <v>1146269.8285761001</v>
      </c>
      <c r="Z35" s="494">
        <f>Z34+X35</f>
        <v>0.75639855914480125</v>
      </c>
      <c r="AA35" s="497">
        <f>AA34+Y35</f>
        <v>1663378.8452127001</v>
      </c>
      <c r="AB35" s="494">
        <f>AB34+Z35</f>
        <v>0.84242790758658048</v>
      </c>
      <c r="AC35" s="497">
        <f>AC34+AA35</f>
        <v>1852564.0261407001</v>
      </c>
      <c r="AD35" s="494">
        <f>AD34+AB35</f>
        <v>0.92126922532118916</v>
      </c>
      <c r="AE35" s="497">
        <f>AE34+AC35</f>
        <v>2025942.1724406001</v>
      </c>
      <c r="AF35" s="494">
        <f>AF34+AD35</f>
        <v>1</v>
      </c>
      <c r="AG35" s="497">
        <f>AG34+AE35</f>
        <v>2199077.226024</v>
      </c>
    </row>
    <row r="36" spans="1:36">
      <c r="S36" s="7"/>
      <c r="U36" s="7"/>
    </row>
    <row r="37" spans="1:36">
      <c r="S37" s="7"/>
      <c r="U37" s="7"/>
      <c r="Y37" s="15"/>
      <c r="Z37" s="15"/>
      <c r="AA37" s="15"/>
      <c r="AB37" s="15"/>
      <c r="AC37" s="15"/>
      <c r="AD37" s="15"/>
      <c r="AE37" s="15"/>
      <c r="AF37" s="15"/>
      <c r="AG37" s="15"/>
    </row>
    <row r="38" spans="1:36">
      <c r="Y38" s="16"/>
      <c r="Z38" s="17"/>
      <c r="AA38" s="18"/>
      <c r="AB38" s="15"/>
      <c r="AC38" s="16"/>
      <c r="AD38" s="16"/>
      <c r="AE38" s="16"/>
      <c r="AF38" s="17"/>
      <c r="AG38" s="18"/>
    </row>
    <row r="39" spans="1:36" ht="14.25">
      <c r="Y39" s="557"/>
      <c r="Z39" s="557"/>
      <c r="AA39" s="557"/>
      <c r="AB39" s="15"/>
      <c r="AC39" s="557"/>
      <c r="AD39" s="557"/>
      <c r="AE39" s="557"/>
      <c r="AF39" s="557"/>
      <c r="AG39" s="557"/>
    </row>
    <row r="40" spans="1:36" ht="14.25">
      <c r="Y40" s="557"/>
      <c r="Z40" s="557"/>
      <c r="AA40" s="557"/>
      <c r="AB40" s="15"/>
      <c r="AC40" s="557"/>
      <c r="AD40" s="557"/>
      <c r="AE40" s="557"/>
      <c r="AF40" s="557"/>
      <c r="AG40" s="557"/>
    </row>
    <row r="41" spans="1:36">
      <c r="Y41" s="15"/>
      <c r="Z41" s="15"/>
      <c r="AA41" s="15"/>
    </row>
  </sheetData>
  <mergeCells count="25">
    <mergeCell ref="G10:G11"/>
    <mergeCell ref="AB10:AC10"/>
    <mergeCell ref="AF10:AG10"/>
    <mergeCell ref="AC39:AG39"/>
    <mergeCell ref="Y39:AA39"/>
    <mergeCell ref="R10:S10"/>
    <mergeCell ref="AD10:AE10"/>
    <mergeCell ref="T10:U10"/>
    <mergeCell ref="X10:Y10"/>
    <mergeCell ref="H10:I10"/>
    <mergeCell ref="J10:K10"/>
    <mergeCell ref="L10:M10"/>
    <mergeCell ref="N10:O10"/>
    <mergeCell ref="AC40:AG40"/>
    <mergeCell ref="Y40:AA40"/>
    <mergeCell ref="B10:B11"/>
    <mergeCell ref="P10:Q10"/>
    <mergeCell ref="C9:E9"/>
    <mergeCell ref="C7:G7"/>
    <mergeCell ref="Z10:AA10"/>
    <mergeCell ref="E10:E11"/>
    <mergeCell ref="F10:F11"/>
    <mergeCell ref="D10:D11"/>
    <mergeCell ref="C10:C11"/>
    <mergeCell ref="V10:W10"/>
  </mergeCells>
  <phoneticPr fontId="6" type="noConversion"/>
  <pageMargins left="0.39370078740157483" right="0.39370078740157483" top="0.98425196850393704" bottom="0.98425196850393704" header="0.51181102362204722" footer="0.51181102362204722"/>
  <pageSetup paperSize="9" scale="60" fitToHeight="0" orientation="landscape" r:id="rId1"/>
  <headerFooter alignWithMargins="0"/>
  <ignoredErrors>
    <ignoredError sqref="G35:G36 R36:W36 B34:E36 F34:F36 R31 T31:T32 V31:V32 X31:X32" numberStoredAsText="1"/>
    <ignoredError sqref="R34:U34 R35:S35 W34 Y34 AA34 AC34" numberStoredAsText="1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I455"/>
  <sheetViews>
    <sheetView workbookViewId="0">
      <selection activeCell="A109" sqref="A109:IV125"/>
    </sheetView>
  </sheetViews>
  <sheetFormatPr defaultRowHeight="12.75"/>
  <cols>
    <col min="2" max="2" width="19.28515625" style="272" customWidth="1"/>
    <col min="3" max="3" width="78.7109375" style="111" customWidth="1"/>
    <col min="4" max="5" width="9.140625" style="272"/>
    <col min="6" max="6" width="11.5703125" style="272" customWidth="1"/>
    <col min="7" max="7" width="12.5703125" style="278" customWidth="1"/>
  </cols>
  <sheetData>
    <row r="2" spans="2:7">
      <c r="B2" s="587" t="s">
        <v>710</v>
      </c>
      <c r="C2" s="588"/>
      <c r="D2" s="588"/>
      <c r="E2" s="588"/>
      <c r="F2" s="588"/>
      <c r="G2" s="589"/>
    </row>
    <row r="3" spans="2:7">
      <c r="C3" s="113"/>
    </row>
    <row r="4" spans="2:7">
      <c r="B4" s="368" t="s">
        <v>754</v>
      </c>
      <c r="C4" s="112" t="s">
        <v>634</v>
      </c>
      <c r="D4" s="587" t="s">
        <v>460</v>
      </c>
      <c r="E4" s="588"/>
      <c r="F4" s="588"/>
      <c r="G4" s="589"/>
    </row>
    <row r="5" spans="2:7">
      <c r="B5" s="114" t="s">
        <v>461</v>
      </c>
      <c r="C5" s="322" t="s">
        <v>462</v>
      </c>
      <c r="D5" s="114" t="s">
        <v>463</v>
      </c>
      <c r="E5" s="114" t="s">
        <v>464</v>
      </c>
      <c r="F5" s="114" t="s">
        <v>465</v>
      </c>
      <c r="G5" s="148" t="s">
        <v>466</v>
      </c>
    </row>
    <row r="6" spans="2:7">
      <c r="B6" s="114" t="s">
        <v>477</v>
      </c>
      <c r="C6" s="322" t="s">
        <v>478</v>
      </c>
      <c r="D6" s="114" t="s">
        <v>535</v>
      </c>
      <c r="E6" s="114">
        <v>1.3</v>
      </c>
      <c r="F6" s="114">
        <v>11.74</v>
      </c>
      <c r="G6" s="148">
        <f>E6*F6</f>
        <v>15.262</v>
      </c>
    </row>
    <row r="7" spans="2:7">
      <c r="B7" s="114" t="s">
        <v>474</v>
      </c>
      <c r="C7" s="322" t="s">
        <v>475</v>
      </c>
      <c r="D7" s="114" t="s">
        <v>535</v>
      </c>
      <c r="E7" s="114">
        <v>0.13</v>
      </c>
      <c r="F7" s="114">
        <v>14.85</v>
      </c>
      <c r="G7" s="148">
        <f>E7*F7</f>
        <v>1.9305000000000001</v>
      </c>
    </row>
    <row r="8" spans="2:7">
      <c r="B8" s="114"/>
      <c r="C8" s="584"/>
      <c r="D8" s="585"/>
      <c r="E8" s="585"/>
      <c r="F8" s="586"/>
      <c r="G8" s="148">
        <f>SUM(G6:G7)</f>
        <v>17.192499999999999</v>
      </c>
    </row>
    <row r="9" spans="2:7">
      <c r="C9" s="113"/>
    </row>
    <row r="10" spans="2:7">
      <c r="C10" s="113"/>
    </row>
    <row r="11" spans="2:7" ht="13.5" customHeight="1">
      <c r="B11" s="368" t="s">
        <v>755</v>
      </c>
      <c r="C11" s="112" t="s">
        <v>690</v>
      </c>
      <c r="D11" s="587" t="s">
        <v>460</v>
      </c>
      <c r="E11" s="588"/>
      <c r="F11" s="588"/>
      <c r="G11" s="589"/>
    </row>
    <row r="12" spans="2:7">
      <c r="B12" s="114" t="s">
        <v>461</v>
      </c>
      <c r="C12" s="322" t="s">
        <v>462</v>
      </c>
      <c r="D12" s="114" t="s">
        <v>463</v>
      </c>
      <c r="E12" s="114" t="s">
        <v>464</v>
      </c>
      <c r="F12" s="114" t="s">
        <v>465</v>
      </c>
      <c r="G12" s="148" t="s">
        <v>466</v>
      </c>
    </row>
    <row r="13" spans="2:7">
      <c r="B13" s="114" t="s">
        <v>477</v>
      </c>
      <c r="C13" s="322" t="s">
        <v>478</v>
      </c>
      <c r="D13" s="114" t="s">
        <v>535</v>
      </c>
      <c r="E13" s="114">
        <v>0.7</v>
      </c>
      <c r="F13" s="114">
        <v>11.74</v>
      </c>
      <c r="G13" s="148">
        <f>E13*F13</f>
        <v>8.218</v>
      </c>
    </row>
    <row r="14" spans="2:7">
      <c r="B14" s="114" t="s">
        <v>474</v>
      </c>
      <c r="C14" s="322" t="s">
        <v>475</v>
      </c>
      <c r="D14" s="114" t="s">
        <v>535</v>
      </c>
      <c r="E14" s="114">
        <v>7.0000000000000007E-2</v>
      </c>
      <c r="F14" s="114">
        <v>14.85</v>
      </c>
      <c r="G14" s="148">
        <f>E14*F14</f>
        <v>1.0395000000000001</v>
      </c>
    </row>
    <row r="15" spans="2:7">
      <c r="B15" s="114"/>
      <c r="C15" s="584"/>
      <c r="D15" s="585"/>
      <c r="E15" s="585"/>
      <c r="F15" s="586"/>
      <c r="G15" s="148">
        <f>SUM(G13:G14)</f>
        <v>9.2575000000000003</v>
      </c>
    </row>
    <row r="16" spans="2:7">
      <c r="B16" s="150"/>
      <c r="C16" s="323"/>
      <c r="D16" s="150"/>
      <c r="E16" s="150"/>
      <c r="F16" s="150"/>
      <c r="G16" s="151"/>
    </row>
    <row r="17" spans="2:7">
      <c r="B17" s="150"/>
      <c r="C17" s="323"/>
      <c r="D17" s="150"/>
      <c r="E17" s="150"/>
      <c r="F17" s="150"/>
      <c r="G17" s="151"/>
    </row>
    <row r="18" spans="2:7">
      <c r="B18" s="368" t="s">
        <v>756</v>
      </c>
      <c r="C18" s="112" t="s">
        <v>666</v>
      </c>
      <c r="D18" s="587" t="s">
        <v>460</v>
      </c>
      <c r="E18" s="588"/>
      <c r="F18" s="588"/>
      <c r="G18" s="589"/>
    </row>
    <row r="19" spans="2:7">
      <c r="B19" s="114" t="s">
        <v>461</v>
      </c>
      <c r="C19" s="322" t="s">
        <v>462</v>
      </c>
      <c r="D19" s="114" t="s">
        <v>463</v>
      </c>
      <c r="E19" s="114" t="s">
        <v>464</v>
      </c>
      <c r="F19" s="114" t="s">
        <v>465</v>
      </c>
      <c r="G19" s="148" t="s">
        <v>466</v>
      </c>
    </row>
    <row r="20" spans="2:7">
      <c r="B20" s="114" t="s">
        <v>477</v>
      </c>
      <c r="C20" s="322" t="s">
        <v>478</v>
      </c>
      <c r="D20" s="114" t="s">
        <v>535</v>
      </c>
      <c r="E20" s="114">
        <v>1.5</v>
      </c>
      <c r="F20" s="114">
        <v>11.74</v>
      </c>
      <c r="G20" s="148">
        <f>E20*F20</f>
        <v>17.61</v>
      </c>
    </row>
    <row r="21" spans="2:7">
      <c r="B21" s="114" t="s">
        <v>474</v>
      </c>
      <c r="C21" s="322" t="s">
        <v>475</v>
      </c>
      <c r="D21" s="114" t="s">
        <v>535</v>
      </c>
      <c r="E21" s="114">
        <v>0.15</v>
      </c>
      <c r="F21" s="114">
        <v>14.85</v>
      </c>
      <c r="G21" s="148">
        <f>E21*F21</f>
        <v>2.2275</v>
      </c>
    </row>
    <row r="22" spans="2:7">
      <c r="B22" s="114"/>
      <c r="C22" s="584"/>
      <c r="D22" s="585"/>
      <c r="E22" s="585"/>
      <c r="F22" s="586"/>
      <c r="G22" s="148">
        <f>SUM(G20:G21)</f>
        <v>19.837499999999999</v>
      </c>
    </row>
    <row r="23" spans="2:7">
      <c r="B23" s="150"/>
      <c r="C23" s="323"/>
      <c r="D23" s="150"/>
      <c r="E23" s="150"/>
      <c r="F23" s="150"/>
      <c r="G23" s="151"/>
    </row>
    <row r="24" spans="2:7">
      <c r="B24" s="150"/>
      <c r="C24" s="323"/>
      <c r="D24" s="150"/>
      <c r="E24" s="150"/>
      <c r="F24" s="150"/>
      <c r="G24" s="151"/>
    </row>
    <row r="25" spans="2:7">
      <c r="B25" s="368" t="s">
        <v>757</v>
      </c>
      <c r="C25" s="112" t="s">
        <v>758</v>
      </c>
      <c r="D25" s="587" t="s">
        <v>460</v>
      </c>
      <c r="E25" s="588"/>
      <c r="F25" s="588"/>
      <c r="G25" s="589"/>
    </row>
    <row r="26" spans="2:7">
      <c r="B26" s="114" t="s">
        <v>461</v>
      </c>
      <c r="C26" s="322" t="s">
        <v>462</v>
      </c>
      <c r="D26" s="114" t="s">
        <v>463</v>
      </c>
      <c r="E26" s="114" t="s">
        <v>464</v>
      </c>
      <c r="F26" s="114" t="s">
        <v>465</v>
      </c>
      <c r="G26" s="148" t="s">
        <v>466</v>
      </c>
    </row>
    <row r="27" spans="2:7">
      <c r="B27" s="114" t="s">
        <v>477</v>
      </c>
      <c r="C27" s="322" t="s">
        <v>478</v>
      </c>
      <c r="D27" s="114" t="s">
        <v>535</v>
      </c>
      <c r="E27" s="114">
        <v>1</v>
      </c>
      <c r="F27" s="114">
        <v>11.74</v>
      </c>
      <c r="G27" s="148">
        <f>E27*F27</f>
        <v>11.74</v>
      </c>
    </row>
    <row r="28" spans="2:7">
      <c r="B28" s="114" t="s">
        <v>474</v>
      </c>
      <c r="C28" s="322" t="s">
        <v>475</v>
      </c>
      <c r="D28" s="114" t="s">
        <v>535</v>
      </c>
      <c r="E28" s="114">
        <v>0.1</v>
      </c>
      <c r="F28" s="114">
        <v>14.85</v>
      </c>
      <c r="G28" s="148">
        <f>E28*F28</f>
        <v>1.4850000000000001</v>
      </c>
    </row>
    <row r="29" spans="2:7">
      <c r="B29" s="114"/>
      <c r="C29" s="584"/>
      <c r="D29" s="585"/>
      <c r="E29" s="585"/>
      <c r="F29" s="586"/>
      <c r="G29" s="148">
        <f>SUM(G27:G28)</f>
        <v>13.225</v>
      </c>
    </row>
    <row r="30" spans="2:7">
      <c r="B30" s="150"/>
      <c r="C30" s="323"/>
      <c r="D30" s="150"/>
      <c r="E30" s="150"/>
      <c r="F30" s="150"/>
      <c r="G30" s="151"/>
    </row>
    <row r="31" spans="2:7">
      <c r="B31" s="150"/>
      <c r="C31" s="323"/>
      <c r="D31" s="150"/>
      <c r="E31" s="150"/>
      <c r="F31" s="150"/>
      <c r="G31" s="151"/>
    </row>
    <row r="32" spans="2:7">
      <c r="B32" s="368" t="s">
        <v>759</v>
      </c>
      <c r="C32" s="112" t="s">
        <v>664</v>
      </c>
      <c r="D32" s="587" t="s">
        <v>460</v>
      </c>
      <c r="E32" s="588"/>
      <c r="F32" s="588"/>
      <c r="G32" s="589"/>
    </row>
    <row r="33" spans="1:7">
      <c r="B33" s="114" t="s">
        <v>461</v>
      </c>
      <c r="C33" s="322" t="s">
        <v>462</v>
      </c>
      <c r="D33" s="114" t="s">
        <v>463</v>
      </c>
      <c r="E33" s="114" t="s">
        <v>464</v>
      </c>
      <c r="F33" s="114" t="s">
        <v>465</v>
      </c>
      <c r="G33" s="148" t="s">
        <v>466</v>
      </c>
    </row>
    <row r="34" spans="1:7">
      <c r="B34" s="114" t="s">
        <v>477</v>
      </c>
      <c r="C34" s="322" t="s">
        <v>478</v>
      </c>
      <c r="D34" s="114" t="s">
        <v>535</v>
      </c>
      <c r="E34" s="114">
        <v>0.5</v>
      </c>
      <c r="F34" s="114">
        <v>11.74</v>
      </c>
      <c r="G34" s="148">
        <f>E34*F34</f>
        <v>5.87</v>
      </c>
    </row>
    <row r="35" spans="1:7">
      <c r="B35" s="114"/>
      <c r="C35" s="584"/>
      <c r="D35" s="585"/>
      <c r="E35" s="585"/>
      <c r="F35" s="586"/>
      <c r="G35" s="148">
        <f>SUM(G34:G34)</f>
        <v>5.87</v>
      </c>
    </row>
    <row r="36" spans="1:7">
      <c r="B36" s="150"/>
      <c r="C36" s="323"/>
      <c r="D36" s="150"/>
      <c r="E36" s="150"/>
      <c r="F36" s="150"/>
      <c r="G36" s="151"/>
    </row>
    <row r="37" spans="1:7">
      <c r="B37" s="150"/>
      <c r="C37" s="323"/>
      <c r="D37" s="150"/>
      <c r="E37" s="150"/>
      <c r="F37" s="150"/>
      <c r="G37" s="151"/>
    </row>
    <row r="38" spans="1:7">
      <c r="B38" s="368" t="s">
        <v>760</v>
      </c>
      <c r="C38" s="112" t="s">
        <v>668</v>
      </c>
      <c r="D38" s="587" t="s">
        <v>761</v>
      </c>
      <c r="E38" s="588"/>
      <c r="F38" s="588"/>
      <c r="G38" s="589"/>
    </row>
    <row r="39" spans="1:7">
      <c r="B39" s="114" t="s">
        <v>461</v>
      </c>
      <c r="C39" s="322" t="s">
        <v>462</v>
      </c>
      <c r="D39" s="114" t="s">
        <v>463</v>
      </c>
      <c r="E39" s="114" t="s">
        <v>464</v>
      </c>
      <c r="F39" s="114" t="s">
        <v>465</v>
      </c>
      <c r="G39" s="148" t="s">
        <v>466</v>
      </c>
    </row>
    <row r="40" spans="1:7">
      <c r="B40" s="114" t="s">
        <v>477</v>
      </c>
      <c r="C40" s="322" t="s">
        <v>478</v>
      </c>
      <c r="D40" s="114" t="s">
        <v>535</v>
      </c>
      <c r="E40" s="114">
        <v>13</v>
      </c>
      <c r="F40" s="114">
        <v>11.74</v>
      </c>
      <c r="G40" s="148">
        <f>E40*F40</f>
        <v>152.62</v>
      </c>
    </row>
    <row r="41" spans="1:7">
      <c r="B41" s="114" t="s">
        <v>474</v>
      </c>
      <c r="C41" s="322" t="s">
        <v>475</v>
      </c>
      <c r="D41" s="114" t="s">
        <v>535</v>
      </c>
      <c r="E41" s="114">
        <v>1.3</v>
      </c>
      <c r="F41" s="114">
        <v>14.85</v>
      </c>
      <c r="G41" s="148">
        <f>E41*F41</f>
        <v>19.305</v>
      </c>
    </row>
    <row r="42" spans="1:7">
      <c r="B42" s="114"/>
      <c r="C42" s="584"/>
      <c r="D42" s="585"/>
      <c r="E42" s="585"/>
      <c r="F42" s="586"/>
      <c r="G42" s="148">
        <f>SUM(G40:G41)</f>
        <v>171.92500000000001</v>
      </c>
    </row>
    <row r="43" spans="1:7">
      <c r="B43" s="150"/>
      <c r="C43" s="323"/>
      <c r="D43" s="150"/>
      <c r="E43" s="150"/>
      <c r="F43" s="150"/>
      <c r="G43" s="151"/>
    </row>
    <row r="44" spans="1:7">
      <c r="B44" s="150"/>
      <c r="C44" s="323"/>
      <c r="D44" s="150"/>
      <c r="E44" s="150"/>
      <c r="F44" s="150"/>
      <c r="G44" s="151"/>
    </row>
    <row r="45" spans="1:7">
      <c r="B45" s="368" t="s">
        <v>762</v>
      </c>
      <c r="C45" s="112" t="s">
        <v>673</v>
      </c>
      <c r="D45" s="587" t="s">
        <v>460</v>
      </c>
      <c r="E45" s="588"/>
      <c r="F45" s="588"/>
      <c r="G45" s="589"/>
    </row>
    <row r="46" spans="1:7">
      <c r="B46" s="114" t="s">
        <v>461</v>
      </c>
      <c r="C46" s="322" t="s">
        <v>462</v>
      </c>
      <c r="D46" s="114" t="s">
        <v>463</v>
      </c>
      <c r="E46" s="114" t="s">
        <v>464</v>
      </c>
      <c r="F46" s="114" t="s">
        <v>465</v>
      </c>
      <c r="G46" s="148" t="s">
        <v>466</v>
      </c>
    </row>
    <row r="47" spans="1:7">
      <c r="A47" s="110"/>
      <c r="B47" s="114" t="s">
        <v>764</v>
      </c>
      <c r="C47" s="322" t="s">
        <v>765</v>
      </c>
      <c r="D47" s="114" t="s">
        <v>535</v>
      </c>
      <c r="E47" s="114">
        <v>0.08</v>
      </c>
      <c r="F47" s="114">
        <v>11.73</v>
      </c>
      <c r="G47" s="148">
        <f>E47*F47</f>
        <v>0.93840000000000001</v>
      </c>
    </row>
    <row r="48" spans="1:7">
      <c r="A48" s="110"/>
      <c r="B48" s="114" t="s">
        <v>766</v>
      </c>
      <c r="C48" s="322" t="s">
        <v>767</v>
      </c>
      <c r="D48" s="114" t="s">
        <v>535</v>
      </c>
      <c r="E48" s="114">
        <v>0.18</v>
      </c>
      <c r="F48" s="114">
        <v>3.81</v>
      </c>
      <c r="G48" s="148">
        <f>E48*F48</f>
        <v>0.68579999999999997</v>
      </c>
    </row>
    <row r="49" spans="1:7">
      <c r="A49" s="110"/>
      <c r="B49" s="114" t="s">
        <v>768</v>
      </c>
      <c r="C49" s="322" t="s">
        <v>769</v>
      </c>
      <c r="D49" s="114" t="s">
        <v>527</v>
      </c>
      <c r="E49" s="114">
        <v>1E-3</v>
      </c>
      <c r="F49" s="114">
        <v>15.08</v>
      </c>
      <c r="G49" s="148">
        <f>E49*F49</f>
        <v>1.508E-2</v>
      </c>
    </row>
    <row r="50" spans="1:7">
      <c r="B50" s="114" t="s">
        <v>477</v>
      </c>
      <c r="C50" s="322" t="s">
        <v>478</v>
      </c>
      <c r="D50" s="114" t="s">
        <v>535</v>
      </c>
      <c r="E50" s="114">
        <v>0.8</v>
      </c>
      <c r="F50" s="114">
        <v>11.74</v>
      </c>
      <c r="G50" s="148">
        <f>E50*F50</f>
        <v>9.3920000000000012</v>
      </c>
    </row>
    <row r="51" spans="1:7">
      <c r="B51" s="114" t="s">
        <v>474</v>
      </c>
      <c r="C51" s="322" t="s">
        <v>475</v>
      </c>
      <c r="D51" s="114" t="s">
        <v>535</v>
      </c>
      <c r="E51" s="114">
        <v>0.1</v>
      </c>
      <c r="F51" s="114">
        <v>14.85</v>
      </c>
      <c r="G51" s="148">
        <f>E51*F51</f>
        <v>1.4850000000000001</v>
      </c>
    </row>
    <row r="52" spans="1:7">
      <c r="B52" s="114"/>
      <c r="C52" s="584"/>
      <c r="D52" s="585"/>
      <c r="E52" s="585"/>
      <c r="F52" s="586"/>
      <c r="G52" s="148">
        <f>SUM(G47:G51)</f>
        <v>12.51628</v>
      </c>
    </row>
    <row r="53" spans="1:7">
      <c r="B53" s="150"/>
      <c r="C53" s="323"/>
      <c r="D53" s="150"/>
      <c r="E53" s="150"/>
      <c r="F53" s="150"/>
      <c r="G53" s="151"/>
    </row>
    <row r="54" spans="1:7">
      <c r="B54" s="150"/>
      <c r="C54" s="323"/>
      <c r="D54" s="150"/>
      <c r="E54" s="150"/>
      <c r="F54" s="150"/>
      <c r="G54" s="151"/>
    </row>
    <row r="55" spans="1:7">
      <c r="B55" s="368" t="s">
        <v>770</v>
      </c>
      <c r="C55" s="112" t="s">
        <v>675</v>
      </c>
      <c r="D55" s="587" t="s">
        <v>460</v>
      </c>
      <c r="E55" s="588"/>
      <c r="F55" s="588"/>
      <c r="G55" s="589"/>
    </row>
    <row r="56" spans="1:7">
      <c r="B56" s="114" t="s">
        <v>461</v>
      </c>
      <c r="C56" s="322" t="s">
        <v>462</v>
      </c>
      <c r="D56" s="114" t="s">
        <v>463</v>
      </c>
      <c r="E56" s="114" t="s">
        <v>464</v>
      </c>
      <c r="F56" s="114" t="s">
        <v>465</v>
      </c>
      <c r="G56" s="148" t="s">
        <v>466</v>
      </c>
    </row>
    <row r="57" spans="1:7">
      <c r="B57" s="114" t="s">
        <v>477</v>
      </c>
      <c r="C57" s="322" t="s">
        <v>478</v>
      </c>
      <c r="D57" s="114" t="s">
        <v>535</v>
      </c>
      <c r="E57" s="114">
        <v>1.3</v>
      </c>
      <c r="F57" s="114">
        <v>11.74</v>
      </c>
      <c r="G57" s="148">
        <f>E57*F57</f>
        <v>15.262</v>
      </c>
    </row>
    <row r="58" spans="1:7">
      <c r="B58" s="114" t="s">
        <v>771</v>
      </c>
      <c r="C58" s="322" t="s">
        <v>772</v>
      </c>
      <c r="D58" s="114" t="s">
        <v>535</v>
      </c>
      <c r="E58" s="114">
        <v>0.13</v>
      </c>
      <c r="F58" s="114">
        <v>14.85</v>
      </c>
      <c r="G58" s="148">
        <f>E58*F58</f>
        <v>1.9305000000000001</v>
      </c>
    </row>
    <row r="59" spans="1:7">
      <c r="B59" s="114"/>
      <c r="C59" s="584"/>
      <c r="D59" s="585"/>
      <c r="E59" s="585"/>
      <c r="F59" s="586"/>
      <c r="G59" s="148">
        <f>SUM(G57:G58)</f>
        <v>17.192499999999999</v>
      </c>
    </row>
    <row r="60" spans="1:7">
      <c r="B60" s="150"/>
      <c r="C60" s="323"/>
      <c r="D60" s="150"/>
      <c r="E60" s="150"/>
      <c r="F60" s="150"/>
      <c r="G60" s="151"/>
    </row>
    <row r="61" spans="1:7">
      <c r="B61" s="150"/>
      <c r="C61" s="323"/>
      <c r="D61" s="150"/>
      <c r="E61" s="150"/>
      <c r="F61" s="150"/>
      <c r="G61" s="151"/>
    </row>
    <row r="62" spans="1:7">
      <c r="B62" s="368" t="s">
        <v>773</v>
      </c>
      <c r="C62" s="112" t="s">
        <v>676</v>
      </c>
      <c r="D62" s="587" t="s">
        <v>460</v>
      </c>
      <c r="E62" s="588"/>
      <c r="F62" s="588"/>
      <c r="G62" s="589"/>
    </row>
    <row r="63" spans="1:7">
      <c r="B63" s="114" t="s">
        <v>461</v>
      </c>
      <c r="C63" s="322" t="s">
        <v>462</v>
      </c>
      <c r="D63" s="114" t="s">
        <v>463</v>
      </c>
      <c r="E63" s="114" t="s">
        <v>464</v>
      </c>
      <c r="F63" s="114" t="s">
        <v>465</v>
      </c>
      <c r="G63" s="148" t="s">
        <v>466</v>
      </c>
    </row>
    <row r="64" spans="1:7">
      <c r="B64" s="114" t="s">
        <v>477</v>
      </c>
      <c r="C64" s="322" t="s">
        <v>478</v>
      </c>
      <c r="D64" s="114" t="s">
        <v>535</v>
      </c>
      <c r="E64" s="114">
        <v>0.4</v>
      </c>
      <c r="F64" s="114">
        <v>11.74</v>
      </c>
      <c r="G64" s="148">
        <f>E64*F64</f>
        <v>4.6960000000000006</v>
      </c>
    </row>
    <row r="65" spans="1:7">
      <c r="B65" s="114" t="s">
        <v>771</v>
      </c>
      <c r="C65" s="322" t="s">
        <v>772</v>
      </c>
      <c r="D65" s="114" t="s">
        <v>535</v>
      </c>
      <c r="E65" s="114">
        <v>0.4</v>
      </c>
      <c r="F65" s="114">
        <v>14.85</v>
      </c>
      <c r="G65" s="148">
        <f>E65*F65</f>
        <v>5.94</v>
      </c>
    </row>
    <row r="66" spans="1:7">
      <c r="B66" s="114"/>
      <c r="C66" s="584"/>
      <c r="D66" s="585"/>
      <c r="E66" s="585"/>
      <c r="F66" s="586"/>
      <c r="G66" s="148">
        <f>SUM(G64:G65)</f>
        <v>10.636000000000001</v>
      </c>
    </row>
    <row r="67" spans="1:7">
      <c r="B67" s="150"/>
      <c r="C67" s="323"/>
      <c r="D67" s="150"/>
      <c r="E67" s="150"/>
      <c r="F67" s="150"/>
      <c r="G67" s="151"/>
    </row>
    <row r="68" spans="1:7">
      <c r="B68" s="150"/>
      <c r="C68" s="323"/>
      <c r="D68" s="150"/>
      <c r="E68" s="150"/>
      <c r="F68" s="150"/>
      <c r="G68" s="151"/>
    </row>
    <row r="69" spans="1:7">
      <c r="B69" s="368" t="s">
        <v>1450</v>
      </c>
      <c r="C69" s="112" t="s">
        <v>1452</v>
      </c>
      <c r="D69" s="587" t="s">
        <v>460</v>
      </c>
      <c r="E69" s="588"/>
      <c r="F69" s="588"/>
      <c r="G69" s="589"/>
    </row>
    <row r="70" spans="1:7">
      <c r="B70" s="114" t="s">
        <v>461</v>
      </c>
      <c r="C70" s="322" t="s">
        <v>462</v>
      </c>
      <c r="D70" s="114" t="s">
        <v>463</v>
      </c>
      <c r="E70" s="114" t="s">
        <v>464</v>
      </c>
      <c r="F70" s="114" t="s">
        <v>465</v>
      </c>
      <c r="G70" s="148" t="s">
        <v>466</v>
      </c>
    </row>
    <row r="71" spans="1:7">
      <c r="A71" s="110"/>
      <c r="B71" s="114" t="s">
        <v>474</v>
      </c>
      <c r="C71" s="322" t="s">
        <v>475</v>
      </c>
      <c r="D71" s="114" t="s">
        <v>535</v>
      </c>
      <c r="E71" s="114">
        <v>0.15</v>
      </c>
      <c r="F71" s="114">
        <v>14.85</v>
      </c>
      <c r="G71" s="148">
        <f>E71*F71</f>
        <v>2.2275</v>
      </c>
    </row>
    <row r="72" spans="1:7">
      <c r="A72" s="110"/>
      <c r="B72" s="114" t="s">
        <v>477</v>
      </c>
      <c r="C72" s="322" t="s">
        <v>478</v>
      </c>
      <c r="D72" s="114" t="s">
        <v>535</v>
      </c>
      <c r="E72" s="114">
        <v>1</v>
      </c>
      <c r="F72" s="114">
        <v>11.74</v>
      </c>
      <c r="G72" s="148">
        <f>E72*F72</f>
        <v>11.74</v>
      </c>
    </row>
    <row r="73" spans="1:7">
      <c r="B73" s="114"/>
      <c r="C73" s="584"/>
      <c r="D73" s="585"/>
      <c r="E73" s="585"/>
      <c r="F73" s="586"/>
      <c r="G73" s="148">
        <f>SUM(G71:G72)</f>
        <v>13.967500000000001</v>
      </c>
    </row>
    <row r="74" spans="1:7">
      <c r="B74" s="150"/>
      <c r="C74" s="323"/>
      <c r="D74" s="150"/>
      <c r="E74" s="150"/>
      <c r="F74" s="150"/>
      <c r="G74" s="151"/>
    </row>
    <row r="75" spans="1:7">
      <c r="B75" s="150"/>
      <c r="C75" s="323"/>
      <c r="D75" s="150"/>
      <c r="E75" s="150"/>
      <c r="F75" s="150"/>
      <c r="G75" s="151"/>
    </row>
    <row r="76" spans="1:7" ht="12" customHeight="1">
      <c r="B76" s="368" t="s">
        <v>1061</v>
      </c>
      <c r="C76" s="112" t="s">
        <v>1062</v>
      </c>
      <c r="D76" s="587" t="s">
        <v>212</v>
      </c>
      <c r="E76" s="588"/>
      <c r="F76" s="588"/>
      <c r="G76" s="589"/>
    </row>
    <row r="77" spans="1:7">
      <c r="B77" s="114" t="s">
        <v>461</v>
      </c>
      <c r="C77" s="322" t="s">
        <v>462</v>
      </c>
      <c r="D77" s="114" t="s">
        <v>463</v>
      </c>
      <c r="E77" s="114" t="s">
        <v>464</v>
      </c>
      <c r="F77" s="114" t="s">
        <v>465</v>
      </c>
      <c r="G77" s="148" t="s">
        <v>466</v>
      </c>
    </row>
    <row r="78" spans="1:7">
      <c r="B78" s="114" t="s">
        <v>477</v>
      </c>
      <c r="C78" s="322" t="s">
        <v>478</v>
      </c>
      <c r="D78" s="114" t="s">
        <v>535</v>
      </c>
      <c r="E78" s="114">
        <v>0.5</v>
      </c>
      <c r="F78" s="114">
        <v>11.74</v>
      </c>
      <c r="G78" s="148">
        <f>E78*F78</f>
        <v>5.87</v>
      </c>
    </row>
    <row r="79" spans="1:7">
      <c r="B79" s="114" t="s">
        <v>474</v>
      </c>
      <c r="C79" s="322" t="s">
        <v>475</v>
      </c>
      <c r="D79" s="114" t="s">
        <v>535</v>
      </c>
      <c r="E79" s="114">
        <v>0.05</v>
      </c>
      <c r="F79" s="114">
        <v>14.85</v>
      </c>
      <c r="G79" s="148">
        <f>E79*F79</f>
        <v>0.74250000000000005</v>
      </c>
    </row>
    <row r="80" spans="1:7">
      <c r="A80" s="110"/>
      <c r="B80" s="114" t="s">
        <v>743</v>
      </c>
      <c r="C80" s="322" t="s">
        <v>742</v>
      </c>
      <c r="D80" s="114" t="s">
        <v>543</v>
      </c>
      <c r="E80" s="114">
        <v>1.0999999999999999E-2</v>
      </c>
      <c r="F80" s="114">
        <v>392.67</v>
      </c>
      <c r="G80" s="148">
        <f>E80*F80</f>
        <v>4.3193700000000002</v>
      </c>
    </row>
    <row r="81" spans="1:7">
      <c r="A81" s="110"/>
      <c r="B81" s="114" t="s">
        <v>541</v>
      </c>
      <c r="C81" s="322" t="s">
        <v>542</v>
      </c>
      <c r="D81" s="114" t="s">
        <v>543</v>
      </c>
      <c r="E81" s="114">
        <v>1E-3</v>
      </c>
      <c r="F81" s="114">
        <v>375.3</v>
      </c>
      <c r="G81" s="148">
        <f>E81*F81</f>
        <v>0.37530000000000002</v>
      </c>
    </row>
    <row r="82" spans="1:7">
      <c r="B82" s="114"/>
      <c r="C82" s="584"/>
      <c r="D82" s="585"/>
      <c r="E82" s="585"/>
      <c r="F82" s="586"/>
      <c r="G82" s="148">
        <f>SUM(G78:G81)</f>
        <v>11.307169999999999</v>
      </c>
    </row>
    <row r="83" spans="1:7">
      <c r="B83" s="150"/>
      <c r="C83" s="323"/>
      <c r="D83" s="150"/>
      <c r="E83" s="150"/>
      <c r="F83" s="150"/>
      <c r="G83" s="151"/>
    </row>
    <row r="85" spans="1:7">
      <c r="B85" s="368" t="s">
        <v>796</v>
      </c>
      <c r="C85" s="112" t="s">
        <v>795</v>
      </c>
      <c r="D85" s="587" t="s">
        <v>761</v>
      </c>
      <c r="E85" s="588"/>
      <c r="F85" s="588"/>
      <c r="G85" s="589"/>
    </row>
    <row r="86" spans="1:7">
      <c r="B86" s="114" t="s">
        <v>461</v>
      </c>
      <c r="C86" s="322" t="s">
        <v>462</v>
      </c>
      <c r="D86" s="114" t="s">
        <v>463</v>
      </c>
      <c r="E86" s="114" t="s">
        <v>464</v>
      </c>
      <c r="F86" s="114" t="s">
        <v>465</v>
      </c>
      <c r="G86" s="148" t="s">
        <v>466</v>
      </c>
    </row>
    <row r="87" spans="1:7">
      <c r="B87" s="114" t="s">
        <v>477</v>
      </c>
      <c r="C87" s="322" t="s">
        <v>478</v>
      </c>
      <c r="D87" s="114" t="s">
        <v>535</v>
      </c>
      <c r="E87" s="114">
        <v>3</v>
      </c>
      <c r="F87" s="114">
        <v>11.74</v>
      </c>
      <c r="G87" s="148">
        <f>E87*F87</f>
        <v>35.22</v>
      </c>
    </row>
    <row r="88" spans="1:7">
      <c r="B88" s="114"/>
      <c r="C88" s="584"/>
      <c r="D88" s="585"/>
      <c r="E88" s="585"/>
      <c r="F88" s="586"/>
      <c r="G88" s="148">
        <f>SUM(G87:G87)</f>
        <v>35.22</v>
      </c>
    </row>
    <row r="89" spans="1:7">
      <c r="B89" s="150"/>
      <c r="C89" s="323"/>
      <c r="D89" s="150"/>
      <c r="E89" s="150"/>
      <c r="F89" s="150"/>
      <c r="G89" s="151"/>
    </row>
    <row r="91" spans="1:7">
      <c r="B91" s="368" t="s">
        <v>834</v>
      </c>
      <c r="C91" s="112" t="s">
        <v>835</v>
      </c>
      <c r="D91" s="587" t="s">
        <v>761</v>
      </c>
      <c r="E91" s="588"/>
      <c r="F91" s="588"/>
      <c r="G91" s="589"/>
    </row>
    <row r="92" spans="1:7">
      <c r="B92" s="114" t="s">
        <v>461</v>
      </c>
      <c r="C92" s="322" t="s">
        <v>462</v>
      </c>
      <c r="D92" s="114" t="s">
        <v>463</v>
      </c>
      <c r="E92" s="114" t="s">
        <v>464</v>
      </c>
      <c r="F92" s="114" t="s">
        <v>465</v>
      </c>
      <c r="G92" s="148" t="s">
        <v>466</v>
      </c>
    </row>
    <row r="93" spans="1:7">
      <c r="B93" s="114" t="s">
        <v>477</v>
      </c>
      <c r="C93" s="322" t="s">
        <v>478</v>
      </c>
      <c r="D93" s="114" t="s">
        <v>535</v>
      </c>
      <c r="E93" s="114">
        <v>5</v>
      </c>
      <c r="F93" s="114">
        <v>11.74</v>
      </c>
      <c r="G93" s="148">
        <f>E93*F93</f>
        <v>58.7</v>
      </c>
    </row>
    <row r="94" spans="1:7">
      <c r="B94" s="114"/>
      <c r="C94" s="584"/>
      <c r="D94" s="585"/>
      <c r="E94" s="585"/>
      <c r="F94" s="586"/>
      <c r="G94" s="148">
        <f>SUM(G93:G93)</f>
        <v>58.7</v>
      </c>
    </row>
    <row r="95" spans="1:7">
      <c r="B95" s="150"/>
      <c r="C95" s="323"/>
      <c r="D95" s="150"/>
      <c r="E95" s="150"/>
      <c r="F95" s="150"/>
      <c r="G95" s="151"/>
    </row>
    <row r="97" spans="1:7" ht="25.5">
      <c r="B97" s="368" t="s">
        <v>837</v>
      </c>
      <c r="C97" s="112" t="s">
        <v>836</v>
      </c>
      <c r="D97" s="587" t="s">
        <v>761</v>
      </c>
      <c r="E97" s="588"/>
      <c r="F97" s="588"/>
      <c r="G97" s="589"/>
    </row>
    <row r="98" spans="1:7">
      <c r="B98" s="114" t="s">
        <v>461</v>
      </c>
      <c r="C98" s="322" t="s">
        <v>462</v>
      </c>
      <c r="D98" s="114" t="s">
        <v>463</v>
      </c>
      <c r="E98" s="114" t="s">
        <v>464</v>
      </c>
      <c r="F98" s="114" t="s">
        <v>465</v>
      </c>
      <c r="G98" s="148" t="s">
        <v>466</v>
      </c>
    </row>
    <row r="99" spans="1:7">
      <c r="A99" s="110"/>
      <c r="B99" s="114" t="s">
        <v>838</v>
      </c>
      <c r="C99" s="322" t="s">
        <v>839</v>
      </c>
      <c r="D99" s="114" t="s">
        <v>92</v>
      </c>
      <c r="E99" s="114">
        <v>0.2</v>
      </c>
      <c r="F99" s="114">
        <v>8.35</v>
      </c>
      <c r="G99" s="148">
        <f>F99*E99</f>
        <v>1.67</v>
      </c>
    </row>
    <row r="100" spans="1:7">
      <c r="A100" s="110"/>
      <c r="B100" s="114" t="s">
        <v>764</v>
      </c>
      <c r="C100" s="322" t="s">
        <v>765</v>
      </c>
      <c r="D100" s="114" t="s">
        <v>535</v>
      </c>
      <c r="E100" s="114">
        <v>0.06</v>
      </c>
      <c r="F100" s="114">
        <v>11.73</v>
      </c>
      <c r="G100" s="148">
        <f t="shared" ref="G100:G105" si="0">F100*E100</f>
        <v>0.70379999999999998</v>
      </c>
    </row>
    <row r="101" spans="1:7">
      <c r="A101" s="110"/>
      <c r="B101" s="114" t="s">
        <v>840</v>
      </c>
      <c r="C101" s="322" t="s">
        <v>841</v>
      </c>
      <c r="D101" s="114" t="s">
        <v>535</v>
      </c>
      <c r="E101" s="114">
        <v>0.18</v>
      </c>
      <c r="F101" s="114">
        <v>2.34</v>
      </c>
      <c r="G101" s="148">
        <f t="shared" si="0"/>
        <v>0.42119999999999996</v>
      </c>
    </row>
    <row r="102" spans="1:7">
      <c r="A102" s="110"/>
      <c r="B102" s="114" t="s">
        <v>842</v>
      </c>
      <c r="C102" s="322" t="s">
        <v>843</v>
      </c>
      <c r="D102" s="114" t="s">
        <v>527</v>
      </c>
      <c r="E102" s="114">
        <v>3</v>
      </c>
      <c r="F102" s="114">
        <v>4.0599999999999996</v>
      </c>
      <c r="G102" s="148">
        <f t="shared" si="0"/>
        <v>12.18</v>
      </c>
    </row>
    <row r="103" spans="1:7">
      <c r="A103" s="110"/>
      <c r="B103" s="114" t="s">
        <v>844</v>
      </c>
      <c r="C103" s="322" t="s">
        <v>845</v>
      </c>
      <c r="D103" s="114" t="s">
        <v>11</v>
      </c>
      <c r="E103" s="114">
        <v>3</v>
      </c>
      <c r="F103" s="114">
        <v>5.07</v>
      </c>
      <c r="G103" s="148">
        <f t="shared" si="0"/>
        <v>15.21</v>
      </c>
    </row>
    <row r="104" spans="1:7">
      <c r="A104" s="110"/>
      <c r="B104" s="114" t="s">
        <v>846</v>
      </c>
      <c r="C104" s="322" t="s">
        <v>847</v>
      </c>
      <c r="D104" s="114" t="s">
        <v>848</v>
      </c>
      <c r="E104" s="114">
        <v>1.8E-3</v>
      </c>
      <c r="F104" s="114">
        <v>4252.7700000000004</v>
      </c>
      <c r="G104" s="148">
        <f t="shared" si="0"/>
        <v>7.654986000000001</v>
      </c>
    </row>
    <row r="105" spans="1:7">
      <c r="B105" s="114" t="s">
        <v>477</v>
      </c>
      <c r="C105" s="322" t="s">
        <v>478</v>
      </c>
      <c r="D105" s="114" t="s">
        <v>535</v>
      </c>
      <c r="E105" s="114">
        <v>15</v>
      </c>
      <c r="F105" s="114">
        <v>11.74</v>
      </c>
      <c r="G105" s="148">
        <f t="shared" si="0"/>
        <v>176.1</v>
      </c>
    </row>
    <row r="106" spans="1:7">
      <c r="B106" s="114"/>
      <c r="C106" s="584"/>
      <c r="D106" s="585"/>
      <c r="E106" s="585"/>
      <c r="F106" s="586"/>
      <c r="G106" s="148">
        <f>SUM(G99:G105)</f>
        <v>213.939986</v>
      </c>
    </row>
    <row r="107" spans="1:7">
      <c r="B107" s="150"/>
      <c r="C107" s="323"/>
      <c r="D107" s="150"/>
      <c r="E107" s="150"/>
      <c r="F107" s="150"/>
      <c r="G107" s="151"/>
    </row>
    <row r="108" spans="1:7">
      <c r="B108" s="150"/>
      <c r="C108" s="323"/>
      <c r="D108" s="150"/>
      <c r="E108" s="150"/>
      <c r="F108" s="150"/>
      <c r="G108" s="151"/>
    </row>
    <row r="109" spans="1:7" ht="25.5">
      <c r="B109" s="368" t="s">
        <v>855</v>
      </c>
      <c r="C109" s="112" t="s">
        <v>856</v>
      </c>
      <c r="D109" s="587" t="s">
        <v>468</v>
      </c>
      <c r="E109" s="588"/>
      <c r="F109" s="588"/>
      <c r="G109" s="589"/>
    </row>
    <row r="110" spans="1:7">
      <c r="B110" s="114" t="s">
        <v>461</v>
      </c>
      <c r="C110" s="322" t="s">
        <v>462</v>
      </c>
      <c r="D110" s="114" t="s">
        <v>463</v>
      </c>
      <c r="E110" s="114" t="s">
        <v>464</v>
      </c>
      <c r="F110" s="114" t="s">
        <v>465</v>
      </c>
      <c r="G110" s="148" t="s">
        <v>466</v>
      </c>
    </row>
    <row r="111" spans="1:7">
      <c r="A111" s="110"/>
      <c r="B111" s="114" t="s">
        <v>726</v>
      </c>
      <c r="C111" s="322" t="s">
        <v>725</v>
      </c>
      <c r="D111" s="114" t="s">
        <v>11</v>
      </c>
      <c r="E111" s="114">
        <v>1.86</v>
      </c>
      <c r="F111" s="114">
        <v>6.5</v>
      </c>
      <c r="G111" s="114">
        <f>F111*E111</f>
        <v>12.09</v>
      </c>
    </row>
    <row r="112" spans="1:7">
      <c r="A112" s="110"/>
      <c r="B112" s="114" t="s">
        <v>1462</v>
      </c>
      <c r="C112" s="322" t="s">
        <v>1463</v>
      </c>
      <c r="D112" s="114" t="s">
        <v>535</v>
      </c>
      <c r="E112" s="114">
        <v>0.15</v>
      </c>
      <c r="F112" s="114">
        <v>14.75</v>
      </c>
      <c r="G112" s="114">
        <f t="shared" ref="G112:G124" si="1">F112*E112</f>
        <v>2.2124999999999999</v>
      </c>
    </row>
    <row r="113" spans="1:7">
      <c r="A113" s="110"/>
      <c r="B113" s="114" t="s">
        <v>771</v>
      </c>
      <c r="C113" s="322" t="s">
        <v>772</v>
      </c>
      <c r="D113" s="114" t="s">
        <v>535</v>
      </c>
      <c r="E113" s="114">
        <v>0.81</v>
      </c>
      <c r="F113" s="114">
        <v>14.75</v>
      </c>
      <c r="G113" s="114">
        <f t="shared" si="1"/>
        <v>11.947500000000002</v>
      </c>
    </row>
    <row r="114" spans="1:7">
      <c r="A114" s="110"/>
      <c r="B114" s="114" t="s">
        <v>614</v>
      </c>
      <c r="C114" s="322" t="s">
        <v>615</v>
      </c>
      <c r="D114" s="114" t="s">
        <v>92</v>
      </c>
      <c r="E114" s="114">
        <v>18</v>
      </c>
      <c r="F114" s="114">
        <v>0.46</v>
      </c>
      <c r="G114" s="114">
        <f t="shared" si="1"/>
        <v>8.2800000000000011</v>
      </c>
    </row>
    <row r="115" spans="1:7">
      <c r="A115" s="110"/>
      <c r="B115" s="114" t="s">
        <v>1453</v>
      </c>
      <c r="C115" s="322" t="s">
        <v>734</v>
      </c>
      <c r="D115" s="114" t="s">
        <v>11</v>
      </c>
      <c r="E115" s="114">
        <v>1.03</v>
      </c>
      <c r="F115" s="114">
        <v>3.07</v>
      </c>
      <c r="G115" s="114">
        <f t="shared" si="1"/>
        <v>3.1621000000000001</v>
      </c>
    </row>
    <row r="116" spans="1:7">
      <c r="A116" s="110"/>
      <c r="B116" s="114" t="s">
        <v>1454</v>
      </c>
      <c r="C116" s="322" t="s">
        <v>728</v>
      </c>
      <c r="D116" s="114" t="s">
        <v>543</v>
      </c>
      <c r="E116" s="114">
        <v>4.0800000000000003E-2</v>
      </c>
      <c r="F116" s="114">
        <v>50</v>
      </c>
      <c r="G116" s="114">
        <f t="shared" si="1"/>
        <v>2.04</v>
      </c>
    </row>
    <row r="117" spans="1:7">
      <c r="A117" s="110"/>
      <c r="B117" s="114" t="s">
        <v>1428</v>
      </c>
      <c r="C117" s="322" t="s">
        <v>729</v>
      </c>
      <c r="D117" s="114" t="s">
        <v>543</v>
      </c>
      <c r="E117" s="114">
        <v>0.13600000000000001</v>
      </c>
      <c r="F117" s="114">
        <v>50</v>
      </c>
      <c r="G117" s="114">
        <f t="shared" si="1"/>
        <v>6.8000000000000007</v>
      </c>
    </row>
    <row r="118" spans="1:7">
      <c r="A118" s="110"/>
      <c r="B118" s="114" t="s">
        <v>474</v>
      </c>
      <c r="C118" s="322" t="s">
        <v>475</v>
      </c>
      <c r="D118" s="114" t="s">
        <v>535</v>
      </c>
      <c r="E118" s="114">
        <v>0.47</v>
      </c>
      <c r="F118" s="114">
        <v>14.85</v>
      </c>
      <c r="G118" s="114">
        <f t="shared" si="1"/>
        <v>6.9794999999999998</v>
      </c>
    </row>
    <row r="119" spans="1:7">
      <c r="A119" s="110"/>
      <c r="B119" s="114" t="s">
        <v>1455</v>
      </c>
      <c r="C119" s="322" t="s">
        <v>730</v>
      </c>
      <c r="D119" s="114" t="s">
        <v>92</v>
      </c>
      <c r="E119" s="114">
        <v>0.03</v>
      </c>
      <c r="F119" s="114">
        <v>12.2</v>
      </c>
      <c r="G119" s="114">
        <f t="shared" si="1"/>
        <v>0.36599999999999999</v>
      </c>
    </row>
    <row r="120" spans="1:7">
      <c r="A120" s="110"/>
      <c r="B120" s="114" t="s">
        <v>477</v>
      </c>
      <c r="C120" s="322" t="s">
        <v>478</v>
      </c>
      <c r="D120" s="114" t="s">
        <v>535</v>
      </c>
      <c r="E120" s="114">
        <v>2.1</v>
      </c>
      <c r="F120" s="114">
        <v>11.74</v>
      </c>
      <c r="G120" s="114">
        <f t="shared" si="1"/>
        <v>24.654</v>
      </c>
    </row>
    <row r="121" spans="1:7">
      <c r="A121" s="110"/>
      <c r="B121" s="114" t="s">
        <v>1456</v>
      </c>
      <c r="C121" s="322" t="s">
        <v>1457</v>
      </c>
      <c r="D121" s="114" t="s">
        <v>11</v>
      </c>
      <c r="E121" s="114">
        <v>0.62</v>
      </c>
      <c r="F121" s="114">
        <v>15.23</v>
      </c>
      <c r="G121" s="114">
        <f t="shared" si="1"/>
        <v>9.4426000000000005</v>
      </c>
    </row>
    <row r="122" spans="1:7">
      <c r="A122" s="110"/>
      <c r="B122" s="114" t="s">
        <v>1458</v>
      </c>
      <c r="C122" s="322" t="s">
        <v>727</v>
      </c>
      <c r="D122" s="114" t="s">
        <v>543</v>
      </c>
      <c r="E122" s="114">
        <v>0.06</v>
      </c>
      <c r="F122" s="114">
        <v>66.95</v>
      </c>
      <c r="G122" s="114">
        <f t="shared" si="1"/>
        <v>4.0170000000000003</v>
      </c>
    </row>
    <row r="123" spans="1:7">
      <c r="A123" s="110"/>
      <c r="B123" s="114" t="s">
        <v>1459</v>
      </c>
      <c r="C123" s="322" t="s">
        <v>1460</v>
      </c>
      <c r="D123" s="114" t="s">
        <v>92</v>
      </c>
      <c r="E123" s="114">
        <v>1.89</v>
      </c>
      <c r="F123" s="114">
        <v>4.24</v>
      </c>
      <c r="G123" s="114">
        <f t="shared" si="1"/>
        <v>8.0136000000000003</v>
      </c>
    </row>
    <row r="124" spans="1:7">
      <c r="A124" s="110"/>
      <c r="B124" s="114" t="s">
        <v>1461</v>
      </c>
      <c r="C124" s="322" t="s">
        <v>857</v>
      </c>
      <c r="D124" s="114" t="s">
        <v>9</v>
      </c>
      <c r="E124" s="114">
        <v>1</v>
      </c>
      <c r="F124" s="114">
        <v>66.19</v>
      </c>
      <c r="G124" s="114">
        <f t="shared" si="1"/>
        <v>66.19</v>
      </c>
    </row>
    <row r="125" spans="1:7">
      <c r="A125" s="110"/>
      <c r="B125" s="114"/>
      <c r="C125" s="584"/>
      <c r="D125" s="585"/>
      <c r="E125" s="585"/>
      <c r="F125" s="586"/>
      <c r="G125" s="114">
        <f>SUM(G111:G124)</f>
        <v>166.19479999999999</v>
      </c>
    </row>
    <row r="126" spans="1:7">
      <c r="B126" s="150"/>
      <c r="C126" s="323"/>
      <c r="D126" s="150"/>
      <c r="E126" s="150"/>
      <c r="F126" s="150"/>
      <c r="G126" s="151"/>
    </row>
    <row r="127" spans="1:7">
      <c r="B127" s="150"/>
      <c r="C127" s="323"/>
      <c r="D127" s="150"/>
      <c r="E127" s="150"/>
      <c r="F127" s="150"/>
      <c r="G127" s="151"/>
    </row>
    <row r="128" spans="1:7" ht="22.5" customHeight="1">
      <c r="B128" s="368" t="s">
        <v>1202</v>
      </c>
      <c r="C128" s="112" t="s">
        <v>1201</v>
      </c>
      <c r="D128" s="587" t="s">
        <v>761</v>
      </c>
      <c r="E128" s="588"/>
      <c r="F128" s="588"/>
      <c r="G128" s="589"/>
    </row>
    <row r="129" spans="2:7">
      <c r="B129" s="114" t="s">
        <v>461</v>
      </c>
      <c r="C129" s="322" t="s">
        <v>462</v>
      </c>
      <c r="D129" s="114" t="s">
        <v>463</v>
      </c>
      <c r="E129" s="114" t="s">
        <v>464</v>
      </c>
      <c r="F129" s="114" t="s">
        <v>465</v>
      </c>
      <c r="G129" s="148" t="s">
        <v>466</v>
      </c>
    </row>
    <row r="130" spans="2:7">
      <c r="B130" s="114" t="s">
        <v>477</v>
      </c>
      <c r="C130" s="322" t="s">
        <v>478</v>
      </c>
      <c r="D130" s="114" t="s">
        <v>535</v>
      </c>
      <c r="E130" s="114">
        <v>3</v>
      </c>
      <c r="F130" s="114">
        <v>11.74</v>
      </c>
      <c r="G130" s="148">
        <f>F130*E130</f>
        <v>35.22</v>
      </c>
    </row>
    <row r="131" spans="2:7">
      <c r="B131" s="114"/>
      <c r="C131" s="584"/>
      <c r="D131" s="585"/>
      <c r="E131" s="585"/>
      <c r="F131" s="586"/>
      <c r="G131" s="148">
        <f>SUM(G130:G130)</f>
        <v>35.22</v>
      </c>
    </row>
    <row r="132" spans="2:7">
      <c r="B132" s="150"/>
      <c r="C132" s="323"/>
      <c r="D132" s="150"/>
      <c r="E132" s="150"/>
      <c r="F132" s="150"/>
      <c r="G132" s="151"/>
    </row>
    <row r="133" spans="2:7">
      <c r="B133" s="150"/>
      <c r="C133" s="323"/>
      <c r="D133" s="150"/>
      <c r="E133" s="150"/>
      <c r="F133" s="150"/>
      <c r="G133" s="151"/>
    </row>
    <row r="134" spans="2:7" ht="38.25">
      <c r="B134" s="368" t="s">
        <v>806</v>
      </c>
      <c r="C134" s="112" t="s">
        <v>703</v>
      </c>
      <c r="D134" s="587" t="s">
        <v>212</v>
      </c>
      <c r="E134" s="588"/>
      <c r="F134" s="588"/>
      <c r="G134" s="589"/>
    </row>
    <row r="135" spans="2:7">
      <c r="B135" s="114" t="s">
        <v>461</v>
      </c>
      <c r="C135" s="322" t="s">
        <v>462</v>
      </c>
      <c r="D135" s="114" t="s">
        <v>463</v>
      </c>
      <c r="E135" s="114" t="s">
        <v>464</v>
      </c>
      <c r="F135" s="114" t="s">
        <v>465</v>
      </c>
      <c r="G135" s="148" t="s">
        <v>466</v>
      </c>
    </row>
    <row r="136" spans="2:7" s="140" customFormat="1" ht="25.5">
      <c r="B136" s="123">
        <v>34494</v>
      </c>
      <c r="C136" s="122" t="s">
        <v>717</v>
      </c>
      <c r="D136" s="123" t="s">
        <v>482</v>
      </c>
      <c r="E136" s="123">
        <v>1.103</v>
      </c>
      <c r="F136" s="123">
        <v>298.44</v>
      </c>
      <c r="G136" s="125">
        <f t="shared" ref="G136:G141" si="2">F136*E136</f>
        <v>329.17932000000002</v>
      </c>
    </row>
    <row r="137" spans="2:7">
      <c r="B137" s="114" t="s">
        <v>771</v>
      </c>
      <c r="C137" s="322" t="s">
        <v>718</v>
      </c>
      <c r="D137" s="114" t="s">
        <v>476</v>
      </c>
      <c r="E137" s="114">
        <v>0.35299999999999998</v>
      </c>
      <c r="F137" s="114">
        <v>14.75</v>
      </c>
      <c r="G137" s="148">
        <f t="shared" si="2"/>
        <v>5.2067499999999995</v>
      </c>
    </row>
    <row r="138" spans="2:7">
      <c r="B138" s="114" t="s">
        <v>474</v>
      </c>
      <c r="C138" s="322" t="s">
        <v>719</v>
      </c>
      <c r="D138" s="114" t="s">
        <v>476</v>
      </c>
      <c r="E138" s="114">
        <v>0.35299999999999998</v>
      </c>
      <c r="F138" s="114">
        <v>14.85</v>
      </c>
      <c r="G138" s="148">
        <f t="shared" si="2"/>
        <v>5.2420499999999999</v>
      </c>
    </row>
    <row r="139" spans="2:7">
      <c r="B139" s="114" t="s">
        <v>477</v>
      </c>
      <c r="C139" s="322" t="s">
        <v>720</v>
      </c>
      <c r="D139" s="114" t="s">
        <v>476</v>
      </c>
      <c r="E139" s="114">
        <v>1.0589999999999999</v>
      </c>
      <c r="F139" s="114">
        <v>11.74</v>
      </c>
      <c r="G139" s="148">
        <f t="shared" si="2"/>
        <v>12.43266</v>
      </c>
    </row>
    <row r="140" spans="2:7" s="140" customFormat="1" ht="25.5">
      <c r="B140" s="123">
        <v>90586</v>
      </c>
      <c r="C140" s="122" t="s">
        <v>721</v>
      </c>
      <c r="D140" s="123" t="s">
        <v>722</v>
      </c>
      <c r="E140" s="123">
        <v>0.14299999999999999</v>
      </c>
      <c r="F140" s="123">
        <v>1.2</v>
      </c>
      <c r="G140" s="125">
        <f t="shared" si="2"/>
        <v>0.17159999999999997</v>
      </c>
    </row>
    <row r="141" spans="2:7" s="140" customFormat="1" ht="25.5">
      <c r="B141" s="123">
        <v>90587</v>
      </c>
      <c r="C141" s="122" t="s">
        <v>723</v>
      </c>
      <c r="D141" s="123" t="s">
        <v>724</v>
      </c>
      <c r="E141" s="123">
        <v>0.21</v>
      </c>
      <c r="F141" s="123">
        <v>0.33</v>
      </c>
      <c r="G141" s="125">
        <f t="shared" si="2"/>
        <v>6.93E-2</v>
      </c>
    </row>
    <row r="142" spans="2:7">
      <c r="B142" s="114"/>
      <c r="C142" s="584"/>
      <c r="D142" s="585"/>
      <c r="E142" s="585"/>
      <c r="F142" s="586"/>
      <c r="G142" s="148">
        <f>SUM(G136:G141)</f>
        <v>352.30168000000003</v>
      </c>
    </row>
    <row r="143" spans="2:7">
      <c r="B143" s="150"/>
      <c r="C143" s="323"/>
      <c r="D143" s="150"/>
      <c r="E143" s="150"/>
      <c r="F143" s="150"/>
      <c r="G143" s="151"/>
    </row>
    <row r="144" spans="2:7">
      <c r="B144" s="150"/>
      <c r="C144" s="323"/>
      <c r="D144" s="150"/>
      <c r="E144" s="150"/>
      <c r="F144" s="150"/>
      <c r="G144" s="151"/>
    </row>
    <row r="145" spans="1:7" ht="51">
      <c r="B145" s="368" t="s">
        <v>807</v>
      </c>
      <c r="C145" s="112" t="s">
        <v>1230</v>
      </c>
      <c r="D145" s="587" t="s">
        <v>212</v>
      </c>
      <c r="E145" s="588"/>
      <c r="F145" s="588"/>
      <c r="G145" s="589"/>
    </row>
    <row r="146" spans="1:7">
      <c r="B146" s="114" t="s">
        <v>461</v>
      </c>
      <c r="C146" s="322" t="s">
        <v>462</v>
      </c>
      <c r="D146" s="114" t="s">
        <v>463</v>
      </c>
      <c r="E146" s="114" t="s">
        <v>464</v>
      </c>
      <c r="F146" s="114" t="s">
        <v>465</v>
      </c>
      <c r="G146" s="148" t="s">
        <v>466</v>
      </c>
    </row>
    <row r="147" spans="1:7" s="140" customFormat="1" ht="25.5">
      <c r="B147" s="115">
        <v>34494</v>
      </c>
      <c r="C147" s="324" t="s">
        <v>717</v>
      </c>
      <c r="D147" s="123" t="s">
        <v>482</v>
      </c>
      <c r="E147" s="115">
        <v>1.103</v>
      </c>
      <c r="F147" s="115">
        <v>298.44</v>
      </c>
      <c r="G147" s="126">
        <f t="shared" ref="G147:G152" si="3">F147*E147</f>
        <v>329.17932000000002</v>
      </c>
    </row>
    <row r="148" spans="1:7">
      <c r="B148" s="114" t="s">
        <v>771</v>
      </c>
      <c r="C148" s="324" t="s">
        <v>718</v>
      </c>
      <c r="D148" s="114" t="s">
        <v>476</v>
      </c>
      <c r="E148" s="115">
        <v>8.5000000000000006E-2</v>
      </c>
      <c r="F148" s="115">
        <v>14.75</v>
      </c>
      <c r="G148" s="126">
        <f t="shared" si="3"/>
        <v>1.2537500000000001</v>
      </c>
    </row>
    <row r="149" spans="1:7">
      <c r="B149" s="114" t="s">
        <v>474</v>
      </c>
      <c r="C149" s="324" t="s">
        <v>719</v>
      </c>
      <c r="D149" s="114" t="s">
        <v>476</v>
      </c>
      <c r="E149" s="281">
        <v>0.51200000000000001</v>
      </c>
      <c r="F149" s="115">
        <v>14.85</v>
      </c>
      <c r="G149" s="126">
        <f t="shared" si="3"/>
        <v>7.6032000000000002</v>
      </c>
    </row>
    <row r="150" spans="1:7">
      <c r="B150" s="114" t="s">
        <v>477</v>
      </c>
      <c r="C150" s="324" t="s">
        <v>720</v>
      </c>
      <c r="D150" s="114" t="s">
        <v>476</v>
      </c>
      <c r="E150" s="281">
        <v>0.58599999999999997</v>
      </c>
      <c r="F150" s="115">
        <v>11.74</v>
      </c>
      <c r="G150" s="126">
        <f t="shared" si="3"/>
        <v>6.8796399999999993</v>
      </c>
    </row>
    <row r="151" spans="1:7" s="140" customFormat="1" ht="25.5">
      <c r="B151" s="115">
        <v>90586</v>
      </c>
      <c r="C151" s="324" t="s">
        <v>721</v>
      </c>
      <c r="D151" s="123" t="s">
        <v>722</v>
      </c>
      <c r="E151" s="281">
        <v>4.3999999999999997E-2</v>
      </c>
      <c r="F151" s="115">
        <v>1.2</v>
      </c>
      <c r="G151" s="126">
        <f t="shared" si="3"/>
        <v>5.2799999999999993E-2</v>
      </c>
    </row>
    <row r="152" spans="1:7" s="140" customFormat="1" ht="25.5">
      <c r="B152" s="115">
        <v>90587</v>
      </c>
      <c r="C152" s="324" t="s">
        <v>723</v>
      </c>
      <c r="D152" s="123" t="s">
        <v>724</v>
      </c>
      <c r="E152" s="281">
        <v>0.127</v>
      </c>
      <c r="F152" s="115">
        <v>0.33</v>
      </c>
      <c r="G152" s="126">
        <f t="shared" si="3"/>
        <v>4.1910000000000003E-2</v>
      </c>
    </row>
    <row r="153" spans="1:7">
      <c r="B153" s="114"/>
      <c r="C153" s="591"/>
      <c r="D153" s="591"/>
      <c r="E153" s="591"/>
      <c r="F153" s="591"/>
      <c r="G153" s="148">
        <f>SUM(G147:G152)</f>
        <v>345.01062000000002</v>
      </c>
    </row>
    <row r="154" spans="1:7">
      <c r="B154" s="150"/>
      <c r="C154" s="323"/>
      <c r="D154" s="150"/>
      <c r="E154" s="150"/>
      <c r="F154" s="150"/>
      <c r="G154" s="151"/>
    </row>
    <row r="156" spans="1:7" ht="25.5">
      <c r="B156" s="368" t="s">
        <v>1464</v>
      </c>
      <c r="C156" s="112" t="s">
        <v>695</v>
      </c>
      <c r="D156" s="590" t="s">
        <v>212</v>
      </c>
      <c r="E156" s="590"/>
      <c r="F156" s="590"/>
      <c r="G156" s="590"/>
    </row>
    <row r="157" spans="1:7">
      <c r="B157" s="114" t="s">
        <v>461</v>
      </c>
      <c r="C157" s="322" t="s">
        <v>462</v>
      </c>
      <c r="D157" s="114" t="s">
        <v>463</v>
      </c>
      <c r="E157" s="114" t="s">
        <v>464</v>
      </c>
      <c r="F157" s="114" t="s">
        <v>465</v>
      </c>
      <c r="G157" s="148" t="s">
        <v>466</v>
      </c>
    </row>
    <row r="158" spans="1:7">
      <c r="B158" s="114" t="s">
        <v>737</v>
      </c>
      <c r="C158" s="511" t="s">
        <v>736</v>
      </c>
      <c r="D158" s="128" t="s">
        <v>9</v>
      </c>
      <c r="E158" s="426">
        <v>0.18</v>
      </c>
      <c r="F158" s="147">
        <v>8.08</v>
      </c>
      <c r="G158" s="426">
        <f>F158*E158</f>
        <v>1.4543999999999999</v>
      </c>
    </row>
    <row r="159" spans="1:7">
      <c r="A159" s="110"/>
      <c r="B159" s="114" t="s">
        <v>474</v>
      </c>
      <c r="C159" s="512" t="s">
        <v>735</v>
      </c>
      <c r="D159" s="147" t="s">
        <v>535</v>
      </c>
      <c r="E159" s="426">
        <v>0.2</v>
      </c>
      <c r="F159" s="147">
        <v>14.85</v>
      </c>
      <c r="G159" s="426">
        <f>F159*E159</f>
        <v>2.97</v>
      </c>
    </row>
    <row r="160" spans="1:7" ht="25.5">
      <c r="A160" s="110"/>
      <c r="B160" s="114" t="s">
        <v>1465</v>
      </c>
      <c r="C160" s="511" t="s">
        <v>738</v>
      </c>
      <c r="D160" s="128" t="s">
        <v>739</v>
      </c>
      <c r="E160" s="426">
        <v>0.4</v>
      </c>
      <c r="F160" s="147">
        <v>113.94</v>
      </c>
      <c r="G160" s="426">
        <f>F160*E160</f>
        <v>45.576000000000001</v>
      </c>
    </row>
    <row r="161" spans="2:7">
      <c r="B161" s="139"/>
      <c r="C161" s="609"/>
      <c r="D161" s="609"/>
      <c r="E161" s="609"/>
      <c r="F161" s="609"/>
      <c r="G161" s="149">
        <f>SUM(G158:G160)</f>
        <v>50.000399999999999</v>
      </c>
    </row>
    <row r="164" spans="2:7">
      <c r="B164" s="368" t="s">
        <v>1092</v>
      </c>
      <c r="C164" s="112" t="s">
        <v>222</v>
      </c>
      <c r="D164" s="310"/>
      <c r="E164" s="310"/>
      <c r="F164" s="310"/>
      <c r="G164" s="310"/>
    </row>
    <row r="165" spans="2:7">
      <c r="B165" s="114" t="s">
        <v>461</v>
      </c>
      <c r="C165" s="322" t="s">
        <v>462</v>
      </c>
      <c r="D165" s="114" t="s">
        <v>463</v>
      </c>
      <c r="E165" s="114" t="s">
        <v>464</v>
      </c>
      <c r="F165" s="114" t="s">
        <v>465</v>
      </c>
      <c r="G165" s="148" t="s">
        <v>466</v>
      </c>
    </row>
    <row r="166" spans="2:7" ht="25.5">
      <c r="B166" s="105" t="s">
        <v>741</v>
      </c>
      <c r="C166" s="512" t="s">
        <v>740</v>
      </c>
      <c r="D166" s="487" t="s">
        <v>9</v>
      </c>
      <c r="E166" s="513">
        <v>0.3</v>
      </c>
      <c r="F166" s="513">
        <v>68.510000000000005</v>
      </c>
      <c r="G166" s="514">
        <f>E166*F166</f>
        <v>20.553000000000001</v>
      </c>
    </row>
    <row r="167" spans="2:7">
      <c r="B167" s="105" t="s">
        <v>743</v>
      </c>
      <c r="C167" s="512" t="s">
        <v>742</v>
      </c>
      <c r="D167" s="487" t="s">
        <v>61</v>
      </c>
      <c r="E167" s="513">
        <v>0.03</v>
      </c>
      <c r="F167" s="513">
        <v>392.67</v>
      </c>
      <c r="G167" s="514">
        <f>E167*F167</f>
        <v>11.780100000000001</v>
      </c>
    </row>
    <row r="168" spans="2:7" ht="25.5">
      <c r="B168" s="114" t="s">
        <v>744</v>
      </c>
      <c r="C168" s="512" t="s">
        <v>732</v>
      </c>
      <c r="D168" s="128" t="s">
        <v>92</v>
      </c>
      <c r="E168" s="147">
        <v>2.4</v>
      </c>
      <c r="F168" s="147">
        <v>6.69</v>
      </c>
      <c r="G168" s="514">
        <f>E168*F168</f>
        <v>16.056000000000001</v>
      </c>
    </row>
    <row r="169" spans="2:7" ht="25.5">
      <c r="B169" s="114">
        <v>72131</v>
      </c>
      <c r="C169" s="512" t="s">
        <v>745</v>
      </c>
      <c r="D169" s="128" t="s">
        <v>9</v>
      </c>
      <c r="E169" s="147">
        <v>0.6</v>
      </c>
      <c r="F169" s="147">
        <v>90.05</v>
      </c>
      <c r="G169" s="514">
        <f>E169*F169</f>
        <v>54.029999999999994</v>
      </c>
    </row>
    <row r="170" spans="2:7" ht="25.5">
      <c r="B170" s="114">
        <v>98546</v>
      </c>
      <c r="C170" s="512" t="s">
        <v>746</v>
      </c>
      <c r="D170" s="128" t="s">
        <v>9</v>
      </c>
      <c r="E170" s="147">
        <v>0.9</v>
      </c>
      <c r="F170" s="147">
        <v>69.98</v>
      </c>
      <c r="G170" s="514">
        <f>E170*F170</f>
        <v>62.982000000000006</v>
      </c>
    </row>
    <row r="171" spans="2:7">
      <c r="B171" s="114"/>
      <c r="C171" s="610"/>
      <c r="D171" s="610"/>
      <c r="E171" s="610"/>
      <c r="F171" s="610"/>
      <c r="G171" s="426">
        <f>SUM(G166:G170)</f>
        <v>165.40109999999999</v>
      </c>
    </row>
    <row r="172" spans="2:7">
      <c r="B172" s="271"/>
      <c r="C172" s="113"/>
      <c r="D172" s="145"/>
      <c r="E172" s="145"/>
      <c r="F172" s="145"/>
      <c r="G172" s="145"/>
    </row>
    <row r="173" spans="2:7">
      <c r="C173" s="113"/>
      <c r="D173" s="145"/>
      <c r="E173" s="145"/>
      <c r="F173" s="145"/>
      <c r="G173" s="145"/>
    </row>
    <row r="174" spans="2:7">
      <c r="B174" s="368" t="s">
        <v>1091</v>
      </c>
      <c r="C174" s="112" t="s">
        <v>1079</v>
      </c>
      <c r="D174" s="310"/>
      <c r="E174" s="310"/>
      <c r="F174" s="310"/>
      <c r="G174" s="310"/>
    </row>
    <row r="175" spans="2:7">
      <c r="B175" s="114" t="s">
        <v>461</v>
      </c>
      <c r="C175" s="322" t="s">
        <v>462</v>
      </c>
      <c r="D175" s="114" t="s">
        <v>463</v>
      </c>
      <c r="E175" s="114" t="s">
        <v>464</v>
      </c>
      <c r="F175" s="114" t="s">
        <v>465</v>
      </c>
      <c r="G175" s="148" t="s">
        <v>466</v>
      </c>
    </row>
    <row r="176" spans="2:7">
      <c r="B176" s="115">
        <v>367</v>
      </c>
      <c r="C176" s="488" t="s">
        <v>727</v>
      </c>
      <c r="D176" s="147" t="s">
        <v>61</v>
      </c>
      <c r="E176" s="147">
        <v>1E-3</v>
      </c>
      <c r="F176" s="147">
        <v>66.95</v>
      </c>
      <c r="G176" s="426">
        <f>E176*F176</f>
        <v>6.695000000000001E-2</v>
      </c>
    </row>
    <row r="177" spans="1:9">
      <c r="B177" s="115">
        <v>1379</v>
      </c>
      <c r="C177" s="488" t="s">
        <v>615</v>
      </c>
      <c r="D177" s="147" t="s">
        <v>92</v>
      </c>
      <c r="E177" s="147">
        <v>5</v>
      </c>
      <c r="F177" s="147">
        <v>0.46</v>
      </c>
      <c r="G177" s="426">
        <f t="shared" ref="G177:G185" si="4">E177*F177</f>
        <v>2.3000000000000003</v>
      </c>
    </row>
    <row r="178" spans="1:9">
      <c r="B178" s="115">
        <v>337</v>
      </c>
      <c r="C178" s="512" t="s">
        <v>1089</v>
      </c>
      <c r="D178" s="128" t="s">
        <v>92</v>
      </c>
      <c r="E178" s="147">
        <v>7.8E-2</v>
      </c>
      <c r="F178" s="147">
        <v>11.75</v>
      </c>
      <c r="G178" s="426">
        <f t="shared" si="4"/>
        <v>0.91649999999999998</v>
      </c>
    </row>
    <row r="179" spans="1:9">
      <c r="B179" s="115">
        <v>4721</v>
      </c>
      <c r="C179" s="512" t="s">
        <v>729</v>
      </c>
      <c r="D179" s="147" t="s">
        <v>61</v>
      </c>
      <c r="E179" s="147">
        <v>1.2999999999999999E-2</v>
      </c>
      <c r="F179" s="147">
        <v>50</v>
      </c>
      <c r="G179" s="426">
        <f t="shared" si="4"/>
        <v>0.65</v>
      </c>
    </row>
    <row r="180" spans="1:9">
      <c r="B180" s="115">
        <v>88309</v>
      </c>
      <c r="C180" s="512" t="s">
        <v>1090</v>
      </c>
      <c r="D180" s="147" t="s">
        <v>535</v>
      </c>
      <c r="E180" s="147">
        <v>0.4</v>
      </c>
      <c r="F180" s="147">
        <v>14.85</v>
      </c>
      <c r="G180" s="426">
        <f t="shared" si="4"/>
        <v>5.94</v>
      </c>
    </row>
    <row r="181" spans="1:9">
      <c r="B181" s="115">
        <v>5075</v>
      </c>
      <c r="C181" s="488" t="s">
        <v>730</v>
      </c>
      <c r="D181" s="147" t="s">
        <v>92</v>
      </c>
      <c r="E181" s="425">
        <v>0.01</v>
      </c>
      <c r="F181" s="147">
        <v>12.2</v>
      </c>
      <c r="G181" s="426">
        <f t="shared" si="4"/>
        <v>0.122</v>
      </c>
    </row>
    <row r="182" spans="1:9">
      <c r="B182" s="115">
        <v>6111</v>
      </c>
      <c r="C182" s="512" t="s">
        <v>720</v>
      </c>
      <c r="D182" s="147" t="s">
        <v>535</v>
      </c>
      <c r="E182" s="425">
        <v>0.2</v>
      </c>
      <c r="F182" s="147">
        <v>11.74</v>
      </c>
      <c r="G182" s="426">
        <f t="shared" si="4"/>
        <v>2.3480000000000003</v>
      </c>
    </row>
    <row r="183" spans="1:9">
      <c r="B183" s="115">
        <v>88262</v>
      </c>
      <c r="C183" s="512" t="s">
        <v>718</v>
      </c>
      <c r="D183" s="128" t="s">
        <v>535</v>
      </c>
      <c r="E183" s="147">
        <v>0.2</v>
      </c>
      <c r="F183" s="147">
        <v>14.75</v>
      </c>
      <c r="G183" s="426">
        <f t="shared" si="4"/>
        <v>2.95</v>
      </c>
    </row>
    <row r="184" spans="1:9" ht="25.5">
      <c r="B184" s="115">
        <v>10567</v>
      </c>
      <c r="C184" s="488" t="s">
        <v>731</v>
      </c>
      <c r="D184" s="147" t="s">
        <v>11</v>
      </c>
      <c r="E184" s="425">
        <v>3.5000000000000003E-2</v>
      </c>
      <c r="F184" s="147">
        <v>6.91</v>
      </c>
      <c r="G184" s="426">
        <f t="shared" si="4"/>
        <v>0.24185000000000004</v>
      </c>
    </row>
    <row r="185" spans="1:9" ht="25.5">
      <c r="B185" s="115" t="s">
        <v>733</v>
      </c>
      <c r="C185" s="488" t="s">
        <v>732</v>
      </c>
      <c r="D185" s="147" t="s">
        <v>92</v>
      </c>
      <c r="E185" s="425">
        <v>1</v>
      </c>
      <c r="F185" s="147">
        <v>6.69</v>
      </c>
      <c r="G185" s="426">
        <f t="shared" si="4"/>
        <v>6.69</v>
      </c>
    </row>
    <row r="186" spans="1:9">
      <c r="B186" s="115"/>
      <c r="C186" s="606"/>
      <c r="D186" s="607"/>
      <c r="E186" s="607"/>
      <c r="F186" s="608"/>
      <c r="G186" s="426">
        <f>SUM(G176:G185)</f>
        <v>22.225300000000001</v>
      </c>
    </row>
    <row r="187" spans="1:9">
      <c r="B187" s="150"/>
      <c r="C187" s="323"/>
      <c r="D187" s="150"/>
      <c r="E187" s="150"/>
      <c r="F187" s="150"/>
      <c r="G187" s="151"/>
    </row>
    <row r="189" spans="1:9" ht="25.5">
      <c r="B189" s="368" t="s">
        <v>495</v>
      </c>
      <c r="C189" s="112" t="s">
        <v>598</v>
      </c>
      <c r="D189" s="590" t="s">
        <v>9</v>
      </c>
      <c r="E189" s="590"/>
      <c r="F189" s="590"/>
      <c r="G189" s="590"/>
      <c r="I189">
        <v>35.32</v>
      </c>
    </row>
    <row r="190" spans="1:9">
      <c r="B190" s="114" t="s">
        <v>461</v>
      </c>
      <c r="C190" s="322" t="s">
        <v>462</v>
      </c>
      <c r="D190" s="115" t="s">
        <v>463</v>
      </c>
      <c r="E190" s="115" t="s">
        <v>464</v>
      </c>
      <c r="F190" s="116" t="s">
        <v>465</v>
      </c>
      <c r="G190" s="126" t="s">
        <v>466</v>
      </c>
    </row>
    <row r="191" spans="1:9">
      <c r="A191" s="110"/>
      <c r="B191" s="114" t="s">
        <v>594</v>
      </c>
      <c r="C191" s="322" t="s">
        <v>595</v>
      </c>
      <c r="D191" s="114" t="s">
        <v>11</v>
      </c>
      <c r="E191" s="114">
        <v>1.3</v>
      </c>
      <c r="F191" s="114">
        <v>6</v>
      </c>
      <c r="G191" s="148">
        <f>E191*F191</f>
        <v>7.8000000000000007</v>
      </c>
    </row>
    <row r="192" spans="1:9">
      <c r="A192" s="110"/>
      <c r="B192" s="114" t="s">
        <v>596</v>
      </c>
      <c r="C192" s="322" t="s">
        <v>597</v>
      </c>
      <c r="D192" s="114" t="s">
        <v>540</v>
      </c>
      <c r="E192" s="114">
        <v>1</v>
      </c>
      <c r="F192" s="114">
        <v>25</v>
      </c>
      <c r="G192" s="148">
        <f>E192*F192</f>
        <v>25</v>
      </c>
    </row>
    <row r="193" spans="1:7">
      <c r="B193" s="139"/>
      <c r="C193" s="592"/>
      <c r="D193" s="593"/>
      <c r="E193" s="593"/>
      <c r="F193" s="594"/>
      <c r="G193" s="149">
        <f>SUM(G191:G192)</f>
        <v>32.799999999999997</v>
      </c>
    </row>
    <row r="196" spans="1:7" ht="38.25">
      <c r="B196" s="368" t="s">
        <v>226</v>
      </c>
      <c r="C196" s="112" t="s">
        <v>225</v>
      </c>
      <c r="D196" s="587" t="s">
        <v>9</v>
      </c>
      <c r="E196" s="588"/>
      <c r="F196" s="588"/>
      <c r="G196" s="589"/>
    </row>
    <row r="197" spans="1:7">
      <c r="B197" s="114" t="s">
        <v>461</v>
      </c>
      <c r="C197" s="322" t="s">
        <v>462</v>
      </c>
      <c r="D197" s="114" t="s">
        <v>463</v>
      </c>
      <c r="E197" s="114" t="s">
        <v>464</v>
      </c>
      <c r="F197" s="114" t="s">
        <v>465</v>
      </c>
      <c r="G197" s="148" t="s">
        <v>466</v>
      </c>
    </row>
    <row r="198" spans="1:7">
      <c r="A198" s="110"/>
      <c r="B198" s="114" t="s">
        <v>472</v>
      </c>
      <c r="C198" s="322" t="s">
        <v>603</v>
      </c>
      <c r="D198" s="114" t="s">
        <v>92</v>
      </c>
      <c r="E198" s="114">
        <v>0.52</v>
      </c>
      <c r="F198" s="114">
        <v>2.9</v>
      </c>
      <c r="G198" s="148">
        <f>E198*F198</f>
        <v>1.508</v>
      </c>
    </row>
    <row r="199" spans="1:7">
      <c r="A199" s="110"/>
      <c r="B199" s="114" t="s">
        <v>604</v>
      </c>
      <c r="C199" s="322" t="s">
        <v>605</v>
      </c>
      <c r="D199" s="114" t="s">
        <v>92</v>
      </c>
      <c r="E199" s="114">
        <v>8</v>
      </c>
      <c r="F199" s="114">
        <v>0.86</v>
      </c>
      <c r="G199" s="148">
        <f>E199*F199</f>
        <v>6.88</v>
      </c>
    </row>
    <row r="200" spans="1:7">
      <c r="A200" s="110"/>
      <c r="B200" s="114" t="s">
        <v>606</v>
      </c>
      <c r="C200" s="322" t="s">
        <v>607</v>
      </c>
      <c r="D200" s="114" t="s">
        <v>540</v>
      </c>
      <c r="E200" s="114">
        <v>1.05</v>
      </c>
      <c r="F200" s="114">
        <v>26.9</v>
      </c>
      <c r="G200" s="148">
        <f>E200*F200</f>
        <v>28.245000000000001</v>
      </c>
    </row>
    <row r="201" spans="1:7">
      <c r="A201" s="110"/>
      <c r="B201" s="114" t="s">
        <v>474</v>
      </c>
      <c r="C201" s="322" t="s">
        <v>475</v>
      </c>
      <c r="D201" s="114" t="s">
        <v>535</v>
      </c>
      <c r="E201" s="114">
        <v>0.55000000000000004</v>
      </c>
      <c r="F201" s="114">
        <v>14.85</v>
      </c>
      <c r="G201" s="148">
        <f>E201*F201</f>
        <v>8.1675000000000004</v>
      </c>
    </row>
    <row r="202" spans="1:7">
      <c r="A202" s="110"/>
      <c r="B202" s="114" t="s">
        <v>477</v>
      </c>
      <c r="C202" s="322" t="s">
        <v>478</v>
      </c>
      <c r="D202" s="114" t="s">
        <v>535</v>
      </c>
      <c r="E202" s="114">
        <v>0.45</v>
      </c>
      <c r="F202" s="114">
        <v>11.74</v>
      </c>
      <c r="G202" s="148">
        <f>E202*F202</f>
        <v>5.2830000000000004</v>
      </c>
    </row>
    <row r="203" spans="1:7">
      <c r="B203" s="114"/>
      <c r="C203" s="584"/>
      <c r="D203" s="585"/>
      <c r="E203" s="585"/>
      <c r="F203" s="586"/>
      <c r="G203" s="148">
        <f>SUM(G198:G202)</f>
        <v>50.083500000000001</v>
      </c>
    </row>
    <row r="204" spans="1:7">
      <c r="B204" s="150"/>
      <c r="C204" s="323"/>
      <c r="D204" s="150"/>
      <c r="E204" s="150"/>
      <c r="F204" s="150"/>
      <c r="G204" s="151"/>
    </row>
    <row r="205" spans="1:7">
      <c r="B205" s="150"/>
      <c r="C205" s="323"/>
      <c r="D205" s="150"/>
      <c r="E205" s="150"/>
      <c r="F205" s="150"/>
      <c r="G205" s="151"/>
    </row>
    <row r="206" spans="1:7" ht="38.25">
      <c r="B206" s="368" t="s">
        <v>226</v>
      </c>
      <c r="C206" s="112" t="s">
        <v>225</v>
      </c>
      <c r="D206" s="587" t="s">
        <v>9</v>
      </c>
      <c r="E206" s="588"/>
      <c r="F206" s="588"/>
      <c r="G206" s="589"/>
    </row>
    <row r="207" spans="1:7">
      <c r="B207" s="114" t="s">
        <v>461</v>
      </c>
      <c r="C207" s="322" t="s">
        <v>462</v>
      </c>
      <c r="D207" s="114" t="s">
        <v>463</v>
      </c>
      <c r="E207" s="114" t="s">
        <v>464</v>
      </c>
      <c r="F207" s="114" t="s">
        <v>465</v>
      </c>
      <c r="G207" s="148" t="s">
        <v>466</v>
      </c>
    </row>
    <row r="208" spans="1:7">
      <c r="A208" s="110"/>
      <c r="B208" s="114" t="s">
        <v>1083</v>
      </c>
      <c r="C208" s="322" t="s">
        <v>1084</v>
      </c>
      <c r="D208" s="114" t="s">
        <v>540</v>
      </c>
      <c r="E208" s="114">
        <v>1.05</v>
      </c>
      <c r="F208" s="114">
        <v>265.35000000000002</v>
      </c>
      <c r="G208" s="148">
        <f>E208*F208</f>
        <v>278.61750000000006</v>
      </c>
    </row>
    <row r="209" spans="1:7">
      <c r="A209" s="110"/>
      <c r="B209" s="114" t="s">
        <v>1085</v>
      </c>
      <c r="C209" s="322" t="s">
        <v>1086</v>
      </c>
      <c r="D209" s="114" t="s">
        <v>92</v>
      </c>
      <c r="E209" s="114">
        <v>0.3</v>
      </c>
      <c r="F209" s="114">
        <v>3.05</v>
      </c>
      <c r="G209" s="148">
        <f>E209*F209</f>
        <v>0.91499999999999992</v>
      </c>
    </row>
    <row r="210" spans="1:7">
      <c r="A210" s="110"/>
      <c r="B210" s="114" t="s">
        <v>474</v>
      </c>
      <c r="C210" s="322" t="s">
        <v>475</v>
      </c>
      <c r="D210" s="114" t="s">
        <v>535</v>
      </c>
      <c r="E210" s="114">
        <v>1.04</v>
      </c>
      <c r="F210" s="114">
        <v>14.85</v>
      </c>
      <c r="G210" s="148">
        <f>E210*F210</f>
        <v>15.444000000000001</v>
      </c>
    </row>
    <row r="211" spans="1:7">
      <c r="A211" s="110"/>
      <c r="B211" s="114" t="s">
        <v>477</v>
      </c>
      <c r="C211" s="322" t="s">
        <v>478</v>
      </c>
      <c r="D211" s="114" t="s">
        <v>535</v>
      </c>
      <c r="E211" s="114">
        <v>0.6</v>
      </c>
      <c r="F211" s="114">
        <v>11.74</v>
      </c>
      <c r="G211" s="148">
        <f>E211*F211</f>
        <v>7.0439999999999996</v>
      </c>
    </row>
    <row r="212" spans="1:7">
      <c r="A212" s="110"/>
      <c r="B212" s="114" t="s">
        <v>1087</v>
      </c>
      <c r="C212" s="322" t="s">
        <v>1088</v>
      </c>
      <c r="D212" s="114" t="s">
        <v>92</v>
      </c>
      <c r="E212" s="114">
        <v>4.5</v>
      </c>
      <c r="F212" s="114">
        <v>0.8</v>
      </c>
      <c r="G212" s="148">
        <f>E212*F212</f>
        <v>3.6</v>
      </c>
    </row>
    <row r="213" spans="1:7" ht="13.5" customHeight="1">
      <c r="B213" s="114"/>
      <c r="C213" s="584"/>
      <c r="D213" s="585"/>
      <c r="E213" s="585"/>
      <c r="F213" s="586"/>
      <c r="G213" s="148">
        <f>SUM(G208:G212)</f>
        <v>305.62050000000011</v>
      </c>
    </row>
    <row r="214" spans="1:7">
      <c r="B214" s="150"/>
      <c r="C214" s="323"/>
      <c r="D214" s="150"/>
      <c r="E214" s="150"/>
      <c r="F214" s="150"/>
      <c r="G214" s="151"/>
    </row>
    <row r="215" spans="1:7">
      <c r="B215" s="368" t="s">
        <v>608</v>
      </c>
      <c r="C215" s="112" t="s">
        <v>609</v>
      </c>
      <c r="D215" s="587" t="s">
        <v>453</v>
      </c>
      <c r="E215" s="588"/>
      <c r="F215" s="588"/>
      <c r="G215" s="589"/>
    </row>
    <row r="216" spans="1:7">
      <c r="B216" s="114" t="s">
        <v>461</v>
      </c>
      <c r="C216" s="322" t="s">
        <v>462</v>
      </c>
      <c r="D216" s="114" t="s">
        <v>463</v>
      </c>
      <c r="E216" s="114" t="s">
        <v>464</v>
      </c>
      <c r="F216" s="114" t="s">
        <v>465</v>
      </c>
      <c r="G216" s="148" t="s">
        <v>466</v>
      </c>
    </row>
    <row r="217" spans="1:7">
      <c r="B217" s="114" t="s">
        <v>477</v>
      </c>
      <c r="C217" s="322" t="s">
        <v>478</v>
      </c>
      <c r="D217" s="114" t="s">
        <v>535</v>
      </c>
      <c r="E217" s="114">
        <v>0.16</v>
      </c>
      <c r="F217" s="114">
        <v>11.74</v>
      </c>
      <c r="G217" s="148">
        <f>E217*F217</f>
        <v>1.8784000000000001</v>
      </c>
    </row>
    <row r="218" spans="1:7">
      <c r="B218" s="114" t="s">
        <v>611</v>
      </c>
      <c r="C218" s="322" t="s">
        <v>610</v>
      </c>
      <c r="D218" s="114" t="s">
        <v>535</v>
      </c>
      <c r="E218" s="114">
        <v>0.08</v>
      </c>
      <c r="F218" s="114">
        <v>10.95</v>
      </c>
      <c r="G218" s="148">
        <f>E218*F218</f>
        <v>0.876</v>
      </c>
    </row>
    <row r="219" spans="1:7">
      <c r="B219" s="114"/>
      <c r="C219" s="584"/>
      <c r="D219" s="585"/>
      <c r="E219" s="585"/>
      <c r="F219" s="586"/>
      <c r="G219" s="148">
        <f>SUM(G216:G218)</f>
        <v>2.7544</v>
      </c>
    </row>
    <row r="220" spans="1:7">
      <c r="B220" s="150"/>
      <c r="C220" s="323"/>
      <c r="D220" s="150"/>
      <c r="E220" s="150"/>
      <c r="F220" s="150"/>
      <c r="G220" s="151"/>
    </row>
    <row r="221" spans="1:7">
      <c r="B221" s="150"/>
      <c r="C221" s="323"/>
      <c r="D221" s="150"/>
      <c r="E221" s="150"/>
      <c r="F221" s="150"/>
      <c r="G221" s="151"/>
    </row>
    <row r="222" spans="1:7" ht="25.5">
      <c r="B222" s="368" t="s">
        <v>1257</v>
      </c>
      <c r="C222" s="112" t="s">
        <v>1256</v>
      </c>
      <c r="D222" s="587" t="s">
        <v>10</v>
      </c>
      <c r="E222" s="588"/>
      <c r="F222" s="588"/>
      <c r="G222" s="589"/>
    </row>
    <row r="223" spans="1:7">
      <c r="B223" s="114" t="s">
        <v>461</v>
      </c>
      <c r="C223" s="322" t="s">
        <v>462</v>
      </c>
      <c r="D223" s="114" t="s">
        <v>463</v>
      </c>
      <c r="E223" s="114" t="s">
        <v>464</v>
      </c>
      <c r="F223" s="114" t="s">
        <v>465</v>
      </c>
      <c r="G223" s="148" t="s">
        <v>466</v>
      </c>
    </row>
    <row r="224" spans="1:7">
      <c r="A224" s="110"/>
      <c r="B224" s="114" t="s">
        <v>1053</v>
      </c>
      <c r="C224" s="322" t="s">
        <v>1245</v>
      </c>
      <c r="D224" s="114" t="s">
        <v>535</v>
      </c>
      <c r="E224" s="114">
        <v>0.5</v>
      </c>
      <c r="F224" s="114">
        <v>14.82</v>
      </c>
      <c r="G224" s="114">
        <f>E224*F224</f>
        <v>7.41</v>
      </c>
    </row>
    <row r="225" spans="1:7">
      <c r="A225" s="110"/>
      <c r="B225" s="114" t="s">
        <v>477</v>
      </c>
      <c r="C225" s="322" t="s">
        <v>478</v>
      </c>
      <c r="D225" s="114" t="s">
        <v>535</v>
      </c>
      <c r="E225" s="114">
        <v>0.5</v>
      </c>
      <c r="F225" s="114">
        <v>11.74</v>
      </c>
      <c r="G225" s="114">
        <f>E225*F225</f>
        <v>5.87</v>
      </c>
    </row>
    <row r="226" spans="1:7">
      <c r="A226" s="110"/>
      <c r="B226" s="114" t="s">
        <v>1468</v>
      </c>
      <c r="C226" s="322" t="s">
        <v>1469</v>
      </c>
      <c r="D226" s="114" t="s">
        <v>527</v>
      </c>
      <c r="E226" s="114">
        <v>1</v>
      </c>
      <c r="F226" s="114">
        <v>18.79</v>
      </c>
      <c r="G226" s="114">
        <f>E226*F226</f>
        <v>18.79</v>
      </c>
    </row>
    <row r="227" spans="1:7">
      <c r="A227" s="110"/>
      <c r="B227" s="114"/>
      <c r="C227" s="322"/>
      <c r="D227" s="114"/>
      <c r="E227" s="114"/>
      <c r="F227" s="114"/>
      <c r="G227" s="114">
        <f>SUM(G224:G226)</f>
        <v>32.07</v>
      </c>
    </row>
    <row r="228" spans="1:7">
      <c r="B228" s="150"/>
      <c r="C228" s="323"/>
      <c r="D228" s="150"/>
      <c r="E228" s="150"/>
      <c r="F228" s="150"/>
      <c r="G228" s="151"/>
    </row>
    <row r="229" spans="1:7">
      <c r="B229" s="150"/>
      <c r="C229" s="323"/>
      <c r="D229" s="150"/>
      <c r="E229" s="150"/>
      <c r="F229" s="150"/>
      <c r="G229" s="151"/>
    </row>
    <row r="230" spans="1:7">
      <c r="B230" s="368" t="s">
        <v>1259</v>
      </c>
      <c r="C230" s="112" t="s">
        <v>1472</v>
      </c>
      <c r="D230" s="587" t="s">
        <v>10</v>
      </c>
      <c r="E230" s="588"/>
      <c r="F230" s="588"/>
      <c r="G230" s="589"/>
    </row>
    <row r="231" spans="1:7">
      <c r="B231" s="114" t="s">
        <v>461</v>
      </c>
      <c r="C231" s="322" t="s">
        <v>462</v>
      </c>
      <c r="D231" s="114" t="s">
        <v>463</v>
      </c>
      <c r="E231" s="114" t="s">
        <v>464</v>
      </c>
      <c r="F231" s="114" t="s">
        <v>465</v>
      </c>
      <c r="G231" s="148" t="s">
        <v>466</v>
      </c>
    </row>
    <row r="232" spans="1:7">
      <c r="A232" s="110"/>
      <c r="B232" s="114" t="s">
        <v>547</v>
      </c>
      <c r="C232" s="322" t="s">
        <v>548</v>
      </c>
      <c r="D232" s="114" t="s">
        <v>92</v>
      </c>
      <c r="E232" s="114">
        <v>0.01</v>
      </c>
      <c r="F232" s="114">
        <v>53.13</v>
      </c>
      <c r="G232" s="148">
        <f>E232*F232</f>
        <v>0.53129999999999999</v>
      </c>
    </row>
    <row r="233" spans="1:7">
      <c r="A233" s="110"/>
      <c r="B233" s="114" t="s">
        <v>549</v>
      </c>
      <c r="C233" s="322" t="s">
        <v>550</v>
      </c>
      <c r="D233" s="114" t="s">
        <v>534</v>
      </c>
      <c r="E233" s="114">
        <v>4.0000000000000001E-3</v>
      </c>
      <c r="F233" s="114">
        <v>39.22</v>
      </c>
      <c r="G233" s="148">
        <f>E233*F233</f>
        <v>0.15687999999999999</v>
      </c>
    </row>
    <row r="234" spans="1:7">
      <c r="A234" s="110"/>
      <c r="B234" s="114" t="s">
        <v>1470</v>
      </c>
      <c r="C234" s="322" t="s">
        <v>1471</v>
      </c>
      <c r="D234" s="114" t="s">
        <v>527</v>
      </c>
      <c r="E234" s="114">
        <v>1</v>
      </c>
      <c r="F234" s="114">
        <v>3.32</v>
      </c>
      <c r="G234" s="148">
        <f>E234*F234</f>
        <v>3.32</v>
      </c>
    </row>
    <row r="235" spans="1:7">
      <c r="A235" s="110"/>
      <c r="B235" s="114" t="s">
        <v>496</v>
      </c>
      <c r="C235" s="322" t="s">
        <v>1245</v>
      </c>
      <c r="D235" s="114" t="s">
        <v>535</v>
      </c>
      <c r="E235" s="114">
        <v>0.28000000000000003</v>
      </c>
      <c r="F235" s="114">
        <v>14.82</v>
      </c>
      <c r="G235" s="148">
        <f>E235*F235</f>
        <v>4.1496000000000004</v>
      </c>
    </row>
    <row r="236" spans="1:7">
      <c r="A236" s="110"/>
      <c r="B236" s="114" t="s">
        <v>477</v>
      </c>
      <c r="C236" s="322" t="s">
        <v>478</v>
      </c>
      <c r="D236" s="114" t="s">
        <v>535</v>
      </c>
      <c r="E236" s="114">
        <v>0.28000000000000003</v>
      </c>
      <c r="F236" s="114">
        <v>11.74</v>
      </c>
      <c r="G236" s="148">
        <f>E236*F236</f>
        <v>3.2872000000000003</v>
      </c>
    </row>
    <row r="237" spans="1:7">
      <c r="A237" s="110"/>
      <c r="B237" s="114"/>
      <c r="C237" s="584"/>
      <c r="D237" s="585"/>
      <c r="E237" s="585"/>
      <c r="F237" s="586"/>
      <c r="G237" s="148">
        <f>SUM(G232:G236)</f>
        <v>11.444979999999999</v>
      </c>
    </row>
    <row r="238" spans="1:7">
      <c r="A238" s="110"/>
      <c r="B238" s="150"/>
      <c r="C238" s="150"/>
      <c r="D238" s="150"/>
      <c r="E238" s="150"/>
      <c r="F238" s="150"/>
      <c r="G238" s="151"/>
    </row>
    <row r="239" spans="1:7">
      <c r="B239" s="150"/>
      <c r="C239" s="323"/>
      <c r="D239" s="150"/>
      <c r="E239" s="150"/>
      <c r="F239" s="150"/>
      <c r="G239" s="151"/>
    </row>
    <row r="240" spans="1:7">
      <c r="B240" s="368" t="s">
        <v>1266</v>
      </c>
      <c r="C240" s="112" t="s">
        <v>1267</v>
      </c>
      <c r="D240" s="587" t="s">
        <v>10</v>
      </c>
      <c r="E240" s="588"/>
      <c r="F240" s="588"/>
      <c r="G240" s="589"/>
    </row>
    <row r="241" spans="1:7">
      <c r="B241" s="114" t="s">
        <v>461</v>
      </c>
      <c r="C241" s="322" t="s">
        <v>462</v>
      </c>
      <c r="D241" s="114" t="s">
        <v>463</v>
      </c>
      <c r="E241" s="114" t="s">
        <v>464</v>
      </c>
      <c r="F241" s="114" t="s">
        <v>465</v>
      </c>
      <c r="G241" s="148" t="s">
        <v>466</v>
      </c>
    </row>
    <row r="242" spans="1:7">
      <c r="A242" s="110"/>
      <c r="B242" s="114" t="s">
        <v>547</v>
      </c>
      <c r="C242" s="322" t="s">
        <v>548</v>
      </c>
      <c r="D242" s="114" t="s">
        <v>92</v>
      </c>
      <c r="E242" s="114">
        <v>1.4999999999999999E-2</v>
      </c>
      <c r="F242" s="114">
        <v>53.13</v>
      </c>
      <c r="G242" s="148">
        <f>E242*F242</f>
        <v>0.79695000000000005</v>
      </c>
    </row>
    <row r="243" spans="1:7">
      <c r="A243" s="110"/>
      <c r="B243" s="114" t="s">
        <v>549</v>
      </c>
      <c r="C243" s="322" t="s">
        <v>550</v>
      </c>
      <c r="D243" s="114" t="s">
        <v>534</v>
      </c>
      <c r="E243" s="114">
        <v>2.1999999999999999E-2</v>
      </c>
      <c r="F243" s="114">
        <v>39.22</v>
      </c>
      <c r="G243" s="148">
        <f>E243*F243</f>
        <v>0.86283999999999994</v>
      </c>
    </row>
    <row r="244" spans="1:7">
      <c r="A244" s="110"/>
      <c r="B244" s="114" t="s">
        <v>496</v>
      </c>
      <c r="C244" s="322" t="s">
        <v>1245</v>
      </c>
      <c r="D244" s="114" t="s">
        <v>535</v>
      </c>
      <c r="E244" s="114">
        <v>0.14000000000000001</v>
      </c>
      <c r="F244" s="114">
        <v>14.82</v>
      </c>
      <c r="G244" s="148">
        <f>E244*F244</f>
        <v>2.0748000000000002</v>
      </c>
    </row>
    <row r="245" spans="1:7">
      <c r="A245" s="110"/>
      <c r="B245" s="114" t="s">
        <v>477</v>
      </c>
      <c r="C245" s="322" t="s">
        <v>478</v>
      </c>
      <c r="D245" s="114" t="s">
        <v>535</v>
      </c>
      <c r="E245" s="114">
        <v>0.14000000000000001</v>
      </c>
      <c r="F245" s="114">
        <v>11.74</v>
      </c>
      <c r="G245" s="148">
        <f>E245*F245</f>
        <v>1.6436000000000002</v>
      </c>
    </row>
    <row r="246" spans="1:7">
      <c r="A246" s="110"/>
      <c r="B246" s="114" t="s">
        <v>1473</v>
      </c>
      <c r="C246" s="322" t="s">
        <v>1474</v>
      </c>
      <c r="D246" s="114" t="s">
        <v>527</v>
      </c>
      <c r="E246" s="114">
        <v>1</v>
      </c>
      <c r="F246" s="114">
        <v>6.41</v>
      </c>
      <c r="G246" s="148">
        <f>E246*F246</f>
        <v>6.41</v>
      </c>
    </row>
    <row r="247" spans="1:7">
      <c r="A247" s="110"/>
      <c r="B247" s="114"/>
      <c r="C247" s="584"/>
      <c r="D247" s="585"/>
      <c r="E247" s="585"/>
      <c r="F247" s="586"/>
      <c r="G247" s="148">
        <f>SUM(G242:G246)</f>
        <v>11.78819</v>
      </c>
    </row>
    <row r="248" spans="1:7">
      <c r="A248" s="110"/>
      <c r="B248" s="150"/>
      <c r="C248" s="150"/>
      <c r="D248" s="150"/>
      <c r="E248" s="150"/>
      <c r="F248" s="150"/>
      <c r="G248" s="151"/>
    </row>
    <row r="249" spans="1:7">
      <c r="B249" s="150"/>
      <c r="C249" s="323"/>
      <c r="D249" s="150"/>
      <c r="E249" s="150"/>
      <c r="F249" s="150"/>
      <c r="G249" s="151"/>
    </row>
    <row r="250" spans="1:7">
      <c r="B250" s="368" t="s">
        <v>1289</v>
      </c>
      <c r="C250" s="112" t="s">
        <v>1288</v>
      </c>
      <c r="D250" s="587" t="s">
        <v>10</v>
      </c>
      <c r="E250" s="588"/>
      <c r="F250" s="588"/>
      <c r="G250" s="589"/>
    </row>
    <row r="251" spans="1:7">
      <c r="B251" s="114" t="s">
        <v>461</v>
      </c>
      <c r="C251" s="322" t="s">
        <v>462</v>
      </c>
      <c r="D251" s="114" t="s">
        <v>463</v>
      </c>
      <c r="E251" s="114" t="s">
        <v>464</v>
      </c>
      <c r="F251" s="114" t="s">
        <v>465</v>
      </c>
      <c r="G251" s="148" t="s">
        <v>466</v>
      </c>
    </row>
    <row r="252" spans="1:7">
      <c r="A252" s="110"/>
      <c r="B252" s="114" t="s">
        <v>547</v>
      </c>
      <c r="C252" s="322" t="s">
        <v>548</v>
      </c>
      <c r="D252" s="114" t="s">
        <v>92</v>
      </c>
      <c r="E252" s="114">
        <v>0.05</v>
      </c>
      <c r="F252" s="114">
        <v>53.13</v>
      </c>
      <c r="G252" s="148">
        <f>E252*F252</f>
        <v>2.6565000000000003</v>
      </c>
    </row>
    <row r="253" spans="1:7">
      <c r="A253" s="110"/>
      <c r="B253" s="114" t="s">
        <v>549</v>
      </c>
      <c r="C253" s="322" t="s">
        <v>550</v>
      </c>
      <c r="D253" s="114" t="s">
        <v>534</v>
      </c>
      <c r="E253" s="114">
        <v>0.08</v>
      </c>
      <c r="F253" s="114">
        <v>39.22</v>
      </c>
      <c r="G253" s="148">
        <f>E253*F253</f>
        <v>3.1375999999999999</v>
      </c>
    </row>
    <row r="254" spans="1:7">
      <c r="A254" s="110"/>
      <c r="B254" s="114" t="s">
        <v>496</v>
      </c>
      <c r="C254" s="322" t="s">
        <v>1245</v>
      </c>
      <c r="D254" s="114" t="s">
        <v>535</v>
      </c>
      <c r="E254" s="114">
        <v>0.23</v>
      </c>
      <c r="F254" s="114">
        <v>14.82</v>
      </c>
      <c r="G254" s="148">
        <f>E254*F254</f>
        <v>3.4086000000000003</v>
      </c>
    </row>
    <row r="255" spans="1:7">
      <c r="A255" s="110"/>
      <c r="B255" s="114" t="s">
        <v>477</v>
      </c>
      <c r="C255" s="322" t="s">
        <v>478</v>
      </c>
      <c r="D255" s="114" t="s">
        <v>535</v>
      </c>
      <c r="E255" s="114">
        <v>0.45</v>
      </c>
      <c r="F255" s="114">
        <v>11.74</v>
      </c>
      <c r="G255" s="114">
        <f>E255*F255</f>
        <v>5.2830000000000004</v>
      </c>
    </row>
    <row r="256" spans="1:7">
      <c r="A256" s="110"/>
      <c r="B256" s="114" t="s">
        <v>1475</v>
      </c>
      <c r="C256" s="322" t="s">
        <v>1476</v>
      </c>
      <c r="D256" s="114" t="s">
        <v>527</v>
      </c>
      <c r="E256" s="114">
        <v>1</v>
      </c>
      <c r="F256" s="114">
        <v>22.19</v>
      </c>
      <c r="G256" s="114">
        <f>E256*F256</f>
        <v>22.19</v>
      </c>
    </row>
    <row r="257" spans="1:7">
      <c r="A257" s="110"/>
      <c r="B257" s="114"/>
      <c r="C257" s="584"/>
      <c r="D257" s="585"/>
      <c r="E257" s="585"/>
      <c r="F257" s="586"/>
      <c r="G257" s="148">
        <f>SUM(G252:G256)</f>
        <v>36.675700000000006</v>
      </c>
    </row>
    <row r="258" spans="1:7">
      <c r="A258" s="110"/>
      <c r="B258" s="150"/>
      <c r="C258" s="150"/>
      <c r="D258" s="150"/>
      <c r="E258" s="150"/>
      <c r="F258" s="150"/>
      <c r="G258" s="151"/>
    </row>
    <row r="259" spans="1:7">
      <c r="B259" s="517"/>
      <c r="C259"/>
      <c r="D259" s="145"/>
      <c r="E259" s="145"/>
      <c r="F259" s="145"/>
      <c r="G259" s="145"/>
    </row>
    <row r="260" spans="1:7">
      <c r="B260" s="368" t="s">
        <v>1119</v>
      </c>
      <c r="C260" s="112" t="s">
        <v>1120</v>
      </c>
      <c r="D260" s="587" t="s">
        <v>10</v>
      </c>
      <c r="E260" s="588"/>
      <c r="F260" s="588"/>
      <c r="G260" s="589"/>
    </row>
    <row r="261" spans="1:7">
      <c r="B261" s="114" t="s">
        <v>461</v>
      </c>
      <c r="C261" s="322" t="s">
        <v>462</v>
      </c>
      <c r="D261" s="114" t="s">
        <v>463</v>
      </c>
      <c r="E261" s="114" t="s">
        <v>464</v>
      </c>
      <c r="F261" s="114" t="s">
        <v>465</v>
      </c>
      <c r="G261" s="148" t="s">
        <v>466</v>
      </c>
    </row>
    <row r="262" spans="1:7">
      <c r="A262" s="110"/>
      <c r="B262" s="114" t="s">
        <v>547</v>
      </c>
      <c r="C262" s="322" t="s">
        <v>548</v>
      </c>
      <c r="D262" s="114" t="s">
        <v>92</v>
      </c>
      <c r="E262" s="114">
        <v>6.0000000000000001E-3</v>
      </c>
      <c r="F262" s="114">
        <v>53.13</v>
      </c>
      <c r="G262" s="148">
        <f>E262*F262</f>
        <v>0.31878000000000001</v>
      </c>
    </row>
    <row r="263" spans="1:7">
      <c r="A263" s="110"/>
      <c r="B263" s="114" t="s">
        <v>549</v>
      </c>
      <c r="C263" s="322" t="s">
        <v>550</v>
      </c>
      <c r="D263" s="114" t="s">
        <v>534</v>
      </c>
      <c r="E263" s="114">
        <v>0.01</v>
      </c>
      <c r="F263" s="114">
        <v>39.22</v>
      </c>
      <c r="G263" s="148">
        <f>E263*F263</f>
        <v>0.39219999999999999</v>
      </c>
    </row>
    <row r="264" spans="1:7">
      <c r="A264" s="110"/>
      <c r="B264" s="114" t="s">
        <v>496</v>
      </c>
      <c r="C264" s="322" t="s">
        <v>1245</v>
      </c>
      <c r="D264" s="114" t="s">
        <v>535</v>
      </c>
      <c r="E264" s="114">
        <v>0.18</v>
      </c>
      <c r="F264" s="114">
        <v>14.82</v>
      </c>
      <c r="G264" s="148">
        <f>E264*F264</f>
        <v>2.6675999999999997</v>
      </c>
    </row>
    <row r="265" spans="1:7">
      <c r="A265" s="110"/>
      <c r="B265" s="114" t="s">
        <v>1121</v>
      </c>
      <c r="C265" s="322" t="s">
        <v>1122</v>
      </c>
      <c r="D265" s="114" t="s">
        <v>527</v>
      </c>
      <c r="E265" s="114">
        <v>1</v>
      </c>
      <c r="F265" s="114">
        <v>2.48</v>
      </c>
      <c r="G265" s="148">
        <f>E265*F265</f>
        <v>2.48</v>
      </c>
    </row>
    <row r="266" spans="1:7">
      <c r="A266" s="110"/>
      <c r="B266" s="114" t="s">
        <v>477</v>
      </c>
      <c r="C266" s="322" t="s">
        <v>478</v>
      </c>
      <c r="D266" s="114" t="s">
        <v>535</v>
      </c>
      <c r="E266" s="114">
        <v>0.18</v>
      </c>
      <c r="F266" s="114">
        <v>11.74</v>
      </c>
      <c r="G266" s="148">
        <f>E266*F266</f>
        <v>2.1132</v>
      </c>
    </row>
    <row r="267" spans="1:7">
      <c r="A267" s="110"/>
      <c r="B267" s="114"/>
      <c r="C267" s="584"/>
      <c r="D267" s="585"/>
      <c r="E267" s="585"/>
      <c r="F267" s="586"/>
      <c r="G267" s="148">
        <f>SUM(G262:G266)</f>
        <v>7.9717799999999999</v>
      </c>
    </row>
    <row r="268" spans="1:7">
      <c r="A268" s="110"/>
      <c r="B268" s="150"/>
      <c r="C268" s="150"/>
      <c r="D268" s="150"/>
      <c r="E268" s="150"/>
      <c r="F268" s="150"/>
      <c r="G268" s="151"/>
    </row>
    <row r="269" spans="1:7">
      <c r="B269" s="517"/>
      <c r="C269"/>
      <c r="D269" s="145"/>
      <c r="E269" s="145"/>
      <c r="F269" s="145"/>
      <c r="G269" s="145"/>
    </row>
    <row r="270" spans="1:7">
      <c r="B270" s="368" t="s">
        <v>1277</v>
      </c>
      <c r="C270" s="112" t="s">
        <v>1276</v>
      </c>
      <c r="D270" s="587" t="s">
        <v>10</v>
      </c>
      <c r="E270" s="588"/>
      <c r="F270" s="588"/>
      <c r="G270" s="589"/>
    </row>
    <row r="271" spans="1:7">
      <c r="B271" s="114" t="s">
        <v>461</v>
      </c>
      <c r="C271" s="322" t="s">
        <v>462</v>
      </c>
      <c r="D271" s="114" t="s">
        <v>463</v>
      </c>
      <c r="E271" s="114" t="s">
        <v>464</v>
      </c>
      <c r="F271" s="114" t="s">
        <v>465</v>
      </c>
      <c r="G271" s="148" t="s">
        <v>466</v>
      </c>
    </row>
    <row r="272" spans="1:7">
      <c r="A272" s="110"/>
      <c r="B272" s="114" t="s">
        <v>547</v>
      </c>
      <c r="C272" s="322" t="s">
        <v>548</v>
      </c>
      <c r="D272" s="114" t="s">
        <v>92</v>
      </c>
      <c r="E272" s="114">
        <v>5.8000000000000003E-2</v>
      </c>
      <c r="F272" s="114">
        <v>53.13</v>
      </c>
      <c r="G272" s="148">
        <f>E272*F272</f>
        <v>3.0815400000000004</v>
      </c>
    </row>
    <row r="273" spans="1:7">
      <c r="A273" s="110"/>
      <c r="B273" s="114" t="s">
        <v>549</v>
      </c>
      <c r="C273" s="322" t="s">
        <v>550</v>
      </c>
      <c r="D273" s="114" t="s">
        <v>534</v>
      </c>
      <c r="E273" s="114">
        <v>9.0999999999999998E-2</v>
      </c>
      <c r="F273" s="114">
        <v>39.22</v>
      </c>
      <c r="G273" s="148">
        <f>E273*F273</f>
        <v>3.5690199999999996</v>
      </c>
    </row>
    <row r="274" spans="1:7">
      <c r="A274" s="110"/>
      <c r="B274" s="114" t="s">
        <v>496</v>
      </c>
      <c r="C274" s="322" t="s">
        <v>1245</v>
      </c>
      <c r="D274" s="114" t="s">
        <v>535</v>
      </c>
      <c r="E274" s="114">
        <v>0.46</v>
      </c>
      <c r="F274" s="114">
        <v>14.82</v>
      </c>
      <c r="G274" s="148">
        <f>E274*F274</f>
        <v>6.8172000000000006</v>
      </c>
    </row>
    <row r="275" spans="1:7">
      <c r="A275" s="110"/>
      <c r="B275" s="114" t="s">
        <v>1477</v>
      </c>
      <c r="C275" s="322" t="s">
        <v>1478</v>
      </c>
      <c r="D275" s="114" t="s">
        <v>527</v>
      </c>
      <c r="E275" s="114">
        <v>1</v>
      </c>
      <c r="F275" s="114">
        <v>9.93</v>
      </c>
      <c r="G275" s="148">
        <f>E275*F275</f>
        <v>9.93</v>
      </c>
    </row>
    <row r="276" spans="1:7">
      <c r="A276" s="110"/>
      <c r="B276" s="114" t="s">
        <v>477</v>
      </c>
      <c r="C276" s="322" t="s">
        <v>478</v>
      </c>
      <c r="D276" s="114" t="s">
        <v>535</v>
      </c>
      <c r="E276" s="114">
        <v>0.46</v>
      </c>
      <c r="F276" s="114">
        <v>11.74</v>
      </c>
      <c r="G276" s="148">
        <f>E276*F276</f>
        <v>5.4004000000000003</v>
      </c>
    </row>
    <row r="277" spans="1:7">
      <c r="A277" s="110"/>
      <c r="B277" s="114"/>
      <c r="C277" s="584"/>
      <c r="D277" s="585"/>
      <c r="E277" s="585"/>
      <c r="F277" s="586"/>
      <c r="G277" s="148">
        <f>SUM(G272:G276)</f>
        <v>28.798160000000003</v>
      </c>
    </row>
    <row r="278" spans="1:7">
      <c r="A278" s="110"/>
      <c r="B278" s="150"/>
      <c r="C278" s="150"/>
      <c r="D278" s="150"/>
      <c r="E278" s="150"/>
      <c r="F278" s="150"/>
      <c r="G278" s="151"/>
    </row>
    <row r="279" spans="1:7">
      <c r="B279" s="517"/>
      <c r="C279"/>
      <c r="D279" s="145"/>
      <c r="E279" s="145"/>
      <c r="F279" s="145"/>
      <c r="G279" s="145"/>
    </row>
    <row r="280" spans="1:7">
      <c r="B280" s="368" t="s">
        <v>1278</v>
      </c>
      <c r="C280" s="112" t="s">
        <v>1479</v>
      </c>
      <c r="D280" s="587" t="s">
        <v>10</v>
      </c>
      <c r="E280" s="588"/>
      <c r="F280" s="588"/>
      <c r="G280" s="589"/>
    </row>
    <row r="281" spans="1:7">
      <c r="B281" s="114" t="s">
        <v>461</v>
      </c>
      <c r="C281" s="322" t="s">
        <v>462</v>
      </c>
      <c r="D281" s="114" t="s">
        <v>463</v>
      </c>
      <c r="E281" s="114" t="s">
        <v>464</v>
      </c>
      <c r="F281" s="114" t="s">
        <v>465</v>
      </c>
      <c r="G281" s="148" t="s">
        <v>466</v>
      </c>
    </row>
    <row r="282" spans="1:7">
      <c r="A282" s="110"/>
      <c r="B282" s="114" t="s">
        <v>547</v>
      </c>
      <c r="C282" s="322" t="s">
        <v>548</v>
      </c>
      <c r="D282" s="114" t="s">
        <v>92</v>
      </c>
      <c r="E282" s="114">
        <v>4.2000000000000003E-2</v>
      </c>
      <c r="F282" s="114">
        <v>53.13</v>
      </c>
      <c r="G282" s="148">
        <f>E282*F282</f>
        <v>2.2314600000000002</v>
      </c>
    </row>
    <row r="283" spans="1:7">
      <c r="A283" s="110"/>
      <c r="B283" s="114" t="s">
        <v>549</v>
      </c>
      <c r="C283" s="322" t="s">
        <v>550</v>
      </c>
      <c r="D283" s="114" t="s">
        <v>534</v>
      </c>
      <c r="E283" s="114">
        <v>6.3E-2</v>
      </c>
      <c r="F283" s="114">
        <v>39.22</v>
      </c>
      <c r="G283" s="148">
        <f>E283*F283</f>
        <v>2.4708600000000001</v>
      </c>
    </row>
    <row r="284" spans="1:7">
      <c r="A284" s="110"/>
      <c r="B284" s="114" t="s">
        <v>496</v>
      </c>
      <c r="C284" s="322" t="s">
        <v>1245</v>
      </c>
      <c r="D284" s="114" t="s">
        <v>535</v>
      </c>
      <c r="E284" s="114">
        <v>0.37</v>
      </c>
      <c r="F284" s="114">
        <v>14.82</v>
      </c>
      <c r="G284" s="148">
        <f>E284*F284</f>
        <v>5.4833999999999996</v>
      </c>
    </row>
    <row r="285" spans="1:7">
      <c r="A285" s="110"/>
      <c r="B285" s="114" t="s">
        <v>1480</v>
      </c>
      <c r="C285" s="122" t="s">
        <v>1481</v>
      </c>
      <c r="D285" s="114" t="s">
        <v>527</v>
      </c>
      <c r="E285" s="114">
        <v>1</v>
      </c>
      <c r="F285" s="114">
        <v>7.35</v>
      </c>
      <c r="G285" s="148">
        <f>E285*F285</f>
        <v>7.35</v>
      </c>
    </row>
    <row r="286" spans="1:7">
      <c r="A286" s="110"/>
      <c r="B286" s="114" t="s">
        <v>477</v>
      </c>
      <c r="C286" s="322" t="s">
        <v>478</v>
      </c>
      <c r="D286" s="114" t="s">
        <v>535</v>
      </c>
      <c r="E286" s="114">
        <v>0.37</v>
      </c>
      <c r="F286" s="114">
        <v>11.74</v>
      </c>
      <c r="G286" s="148">
        <f>E286*F286</f>
        <v>4.3437999999999999</v>
      </c>
    </row>
    <row r="287" spans="1:7">
      <c r="A287" s="110"/>
      <c r="B287" s="114"/>
      <c r="C287" s="584"/>
      <c r="D287" s="585"/>
      <c r="E287" s="585"/>
      <c r="F287" s="586"/>
      <c r="G287" s="148">
        <f>SUM(G282:G286)</f>
        <v>21.879519999999999</v>
      </c>
    </row>
    <row r="288" spans="1:7">
      <c r="A288" s="110"/>
      <c r="B288" s="150"/>
      <c r="C288" s="150"/>
      <c r="D288" s="150"/>
      <c r="E288" s="150"/>
      <c r="F288" s="150"/>
      <c r="G288" s="151"/>
    </row>
    <row r="289" spans="1:7">
      <c r="B289" s="517"/>
      <c r="C289"/>
      <c r="D289" s="145"/>
      <c r="E289" s="145"/>
      <c r="F289" s="145"/>
      <c r="G289" s="145"/>
    </row>
    <row r="290" spans="1:7">
      <c r="B290" s="368" t="s">
        <v>398</v>
      </c>
      <c r="C290" s="112" t="s">
        <v>400</v>
      </c>
      <c r="D290" s="587" t="s">
        <v>10</v>
      </c>
      <c r="E290" s="588"/>
      <c r="F290" s="588"/>
      <c r="G290" s="589"/>
    </row>
    <row r="291" spans="1:7">
      <c r="B291" s="114" t="s">
        <v>461</v>
      </c>
      <c r="C291" s="322" t="s">
        <v>462</v>
      </c>
      <c r="D291" s="114" t="s">
        <v>463</v>
      </c>
      <c r="E291" s="114" t="s">
        <v>464</v>
      </c>
      <c r="F291" s="114" t="s">
        <v>465</v>
      </c>
      <c r="G291" s="148" t="s">
        <v>466</v>
      </c>
    </row>
    <row r="292" spans="1:7">
      <c r="A292" s="110"/>
      <c r="B292" s="114" t="s">
        <v>1482</v>
      </c>
      <c r="C292" s="322" t="s">
        <v>1483</v>
      </c>
      <c r="D292" s="114" t="s">
        <v>92</v>
      </c>
      <c r="E292" s="114">
        <v>2.5000000000000001E-2</v>
      </c>
      <c r="F292" s="114">
        <v>16.53</v>
      </c>
      <c r="G292" s="148">
        <f>E292*F292</f>
        <v>0.41325000000000006</v>
      </c>
    </row>
    <row r="293" spans="1:7">
      <c r="A293" s="110"/>
      <c r="B293" s="114" t="s">
        <v>1484</v>
      </c>
      <c r="C293" s="322" t="s">
        <v>1485</v>
      </c>
      <c r="D293" s="114" t="s">
        <v>527</v>
      </c>
      <c r="E293" s="114">
        <v>1</v>
      </c>
      <c r="F293" s="114">
        <v>3.15</v>
      </c>
      <c r="G293" s="148">
        <f>E293*F293</f>
        <v>3.15</v>
      </c>
    </row>
    <row r="294" spans="1:7">
      <c r="A294" s="110"/>
      <c r="B294" s="114" t="s">
        <v>1486</v>
      </c>
      <c r="C294" s="322" t="s">
        <v>1487</v>
      </c>
      <c r="D294" s="114" t="s">
        <v>527</v>
      </c>
      <c r="E294" s="114">
        <v>1</v>
      </c>
      <c r="F294" s="114">
        <v>0.98</v>
      </c>
      <c r="G294" s="148">
        <f>E294*F294</f>
        <v>0.98</v>
      </c>
    </row>
    <row r="295" spans="1:7">
      <c r="A295" s="110"/>
      <c r="B295" s="114" t="s">
        <v>496</v>
      </c>
      <c r="C295" s="322" t="s">
        <v>1245</v>
      </c>
      <c r="D295" s="114" t="s">
        <v>535</v>
      </c>
      <c r="E295" s="114">
        <v>0.18</v>
      </c>
      <c r="F295" s="114">
        <v>14.82</v>
      </c>
      <c r="G295" s="148">
        <f>E295*F295</f>
        <v>2.6675999999999997</v>
      </c>
    </row>
    <row r="296" spans="1:7">
      <c r="A296" s="110"/>
      <c r="B296" s="114" t="s">
        <v>477</v>
      </c>
      <c r="C296" s="322" t="s">
        <v>478</v>
      </c>
      <c r="D296" s="114" t="s">
        <v>535</v>
      </c>
      <c r="E296" s="114">
        <v>0.18</v>
      </c>
      <c r="F296" s="114">
        <v>11.74</v>
      </c>
      <c r="G296" s="148">
        <f>E296*F296</f>
        <v>2.1132</v>
      </c>
    </row>
    <row r="297" spans="1:7">
      <c r="A297" s="110"/>
      <c r="B297" s="114"/>
      <c r="C297" s="584"/>
      <c r="D297" s="585"/>
      <c r="E297" s="585"/>
      <c r="F297" s="586"/>
      <c r="G297" s="148">
        <f>SUM(G292:G296)</f>
        <v>9.3240499999999997</v>
      </c>
    </row>
    <row r="298" spans="1:7">
      <c r="C298" s="113"/>
    </row>
    <row r="299" spans="1:7">
      <c r="C299" s="113"/>
    </row>
    <row r="300" spans="1:7">
      <c r="B300" s="368" t="s">
        <v>858</v>
      </c>
      <c r="C300" s="112" t="s">
        <v>859</v>
      </c>
      <c r="D300" s="590" t="s">
        <v>9</v>
      </c>
      <c r="E300" s="590"/>
      <c r="F300" s="590"/>
      <c r="G300" s="590"/>
    </row>
    <row r="301" spans="1:7">
      <c r="A301" s="110"/>
      <c r="B301" s="114" t="s">
        <v>474</v>
      </c>
      <c r="C301" s="322" t="s">
        <v>475</v>
      </c>
      <c r="D301" s="114" t="s">
        <v>535</v>
      </c>
      <c r="E301" s="114">
        <v>0.4</v>
      </c>
      <c r="F301" s="114">
        <v>14.85</v>
      </c>
      <c r="G301" s="148">
        <f>F301*E301</f>
        <v>5.94</v>
      </c>
    </row>
    <row r="302" spans="1:7">
      <c r="A302" s="110"/>
      <c r="B302" s="114" t="s">
        <v>477</v>
      </c>
      <c r="C302" s="322" t="s">
        <v>478</v>
      </c>
      <c r="D302" s="114" t="s">
        <v>535</v>
      </c>
      <c r="E302" s="114">
        <v>0.4</v>
      </c>
      <c r="F302" s="114">
        <v>11.74</v>
      </c>
      <c r="G302" s="148">
        <f>F302*E302</f>
        <v>4.6960000000000006</v>
      </c>
    </row>
    <row r="303" spans="1:7" ht="25.5">
      <c r="A303" s="110"/>
      <c r="B303" s="114" t="s">
        <v>559</v>
      </c>
      <c r="C303" s="122" t="s">
        <v>560</v>
      </c>
      <c r="D303" s="114" t="s">
        <v>543</v>
      </c>
      <c r="E303" s="114">
        <v>2.5000000000000001E-2</v>
      </c>
      <c r="F303" s="114">
        <v>296.16000000000003</v>
      </c>
      <c r="G303" s="148">
        <f>F303*E303</f>
        <v>7.4040000000000008</v>
      </c>
    </row>
    <row r="304" spans="1:7">
      <c r="A304" s="110"/>
      <c r="B304" s="277"/>
      <c r="C304" s="600"/>
      <c r="D304" s="601"/>
      <c r="E304" s="601"/>
      <c r="F304" s="602"/>
      <c r="G304" s="148">
        <f>SUM(G301:G303)</f>
        <v>18.040000000000003</v>
      </c>
    </row>
    <row r="305" spans="1:7">
      <c r="C305" s="113"/>
    </row>
    <row r="306" spans="1:7">
      <c r="B306" s="368" t="s">
        <v>162</v>
      </c>
      <c r="C306" s="112" t="s">
        <v>616</v>
      </c>
      <c r="D306" s="590" t="s">
        <v>11</v>
      </c>
      <c r="E306" s="590"/>
      <c r="F306" s="590"/>
      <c r="G306" s="590"/>
    </row>
    <row r="307" spans="1:7">
      <c r="B307" s="114" t="s">
        <v>461</v>
      </c>
      <c r="C307" s="322" t="s">
        <v>462</v>
      </c>
      <c r="D307" s="114" t="s">
        <v>463</v>
      </c>
      <c r="E307" s="114" t="s">
        <v>464</v>
      </c>
      <c r="F307" s="114" t="s">
        <v>465</v>
      </c>
      <c r="G307" s="148" t="s">
        <v>466</v>
      </c>
    </row>
    <row r="308" spans="1:7">
      <c r="A308" s="110"/>
      <c r="B308" s="114" t="s">
        <v>612</v>
      </c>
      <c r="C308" s="322" t="s">
        <v>613</v>
      </c>
      <c r="D308" s="114" t="s">
        <v>11</v>
      </c>
      <c r="E308" s="114">
        <v>1</v>
      </c>
      <c r="F308" s="114">
        <v>12</v>
      </c>
      <c r="G308" s="148">
        <f>E308*F308</f>
        <v>12</v>
      </c>
    </row>
    <row r="309" spans="1:7">
      <c r="A309" s="110"/>
      <c r="B309" s="114" t="s">
        <v>614</v>
      </c>
      <c r="C309" s="322" t="s">
        <v>615</v>
      </c>
      <c r="D309" s="114" t="s">
        <v>92</v>
      </c>
      <c r="E309" s="114">
        <v>2.5</v>
      </c>
      <c r="F309" s="114">
        <v>0.46</v>
      </c>
      <c r="G309" s="148">
        <f>E309*F309</f>
        <v>1.1500000000000001</v>
      </c>
    </row>
    <row r="310" spans="1:7">
      <c r="B310" s="114"/>
      <c r="C310" s="584"/>
      <c r="D310" s="585"/>
      <c r="E310" s="585"/>
      <c r="F310" s="586"/>
      <c r="G310" s="148">
        <f>SUM(G308:G309)</f>
        <v>13.15</v>
      </c>
    </row>
    <row r="311" spans="1:7">
      <c r="C311" s="113"/>
    </row>
    <row r="312" spans="1:7">
      <c r="C312" s="113"/>
    </row>
    <row r="313" spans="1:7" ht="32.25" customHeight="1">
      <c r="B313" s="367" t="s">
        <v>515</v>
      </c>
      <c r="C313" s="112" t="s">
        <v>457</v>
      </c>
      <c r="D313" s="587" t="s">
        <v>463</v>
      </c>
      <c r="E313" s="598"/>
      <c r="F313" s="598"/>
      <c r="G313" s="599"/>
    </row>
    <row r="314" spans="1:7">
      <c r="B314" s="114" t="s">
        <v>461</v>
      </c>
      <c r="C314" s="322" t="s">
        <v>462</v>
      </c>
      <c r="D314" s="115" t="s">
        <v>463</v>
      </c>
      <c r="E314" s="115" t="s">
        <v>464</v>
      </c>
      <c r="F314" s="116" t="s">
        <v>465</v>
      </c>
      <c r="G314" s="126" t="s">
        <v>466</v>
      </c>
    </row>
    <row r="315" spans="1:7" ht="19.5" customHeight="1">
      <c r="B315" s="114" t="s">
        <v>496</v>
      </c>
      <c r="C315" s="119" t="s">
        <v>511</v>
      </c>
      <c r="D315" s="118" t="s">
        <v>476</v>
      </c>
      <c r="E315" s="139">
        <v>0.5</v>
      </c>
      <c r="F315" s="139">
        <v>14.82</v>
      </c>
      <c r="G315" s="149">
        <f>E315*F315</f>
        <v>7.41</v>
      </c>
    </row>
    <row r="316" spans="1:7" ht="22.5" customHeight="1">
      <c r="B316" s="115" t="s">
        <v>477</v>
      </c>
      <c r="C316" s="122" t="s">
        <v>478</v>
      </c>
      <c r="D316" s="139" t="s">
        <v>476</v>
      </c>
      <c r="E316" s="139">
        <v>0.5</v>
      </c>
      <c r="F316" s="115">
        <v>11.74</v>
      </c>
      <c r="G316" s="149">
        <f>E316*F316</f>
        <v>5.87</v>
      </c>
    </row>
    <row r="317" spans="1:7" ht="15.75" customHeight="1">
      <c r="B317" s="114" t="s">
        <v>512</v>
      </c>
      <c r="C317" s="122" t="s">
        <v>513</v>
      </c>
      <c r="D317" s="118" t="s">
        <v>10</v>
      </c>
      <c r="E317" s="139">
        <v>1</v>
      </c>
      <c r="F317" s="115">
        <v>175</v>
      </c>
      <c r="G317" s="149">
        <f>E317*F317</f>
        <v>175</v>
      </c>
    </row>
    <row r="318" spans="1:7">
      <c r="B318" s="139"/>
      <c r="C318" s="592"/>
      <c r="D318" s="593"/>
      <c r="E318" s="593"/>
      <c r="F318" s="594"/>
      <c r="G318" s="149">
        <f>ROUND(SUM(G315:G317),2)</f>
        <v>188.28</v>
      </c>
    </row>
    <row r="321" spans="2:7" ht="25.5">
      <c r="B321" s="367" t="s">
        <v>228</v>
      </c>
      <c r="C321" s="112" t="s">
        <v>514</v>
      </c>
      <c r="D321" s="587" t="s">
        <v>463</v>
      </c>
      <c r="E321" s="598"/>
      <c r="F321" s="598"/>
      <c r="G321" s="599"/>
    </row>
    <row r="322" spans="2:7">
      <c r="B322" s="114" t="s">
        <v>461</v>
      </c>
      <c r="C322" s="322" t="s">
        <v>462</v>
      </c>
      <c r="D322" s="115" t="s">
        <v>463</v>
      </c>
      <c r="E322" s="115" t="s">
        <v>464</v>
      </c>
      <c r="F322" s="116" t="s">
        <v>465</v>
      </c>
      <c r="G322" s="126" t="s">
        <v>466</v>
      </c>
    </row>
    <row r="323" spans="2:7" ht="18" customHeight="1">
      <c r="B323" s="114" t="s">
        <v>496</v>
      </c>
      <c r="C323" s="119" t="s">
        <v>511</v>
      </c>
      <c r="D323" s="118" t="s">
        <v>476</v>
      </c>
      <c r="E323" s="139">
        <v>1</v>
      </c>
      <c r="F323" s="139">
        <v>14.82</v>
      </c>
      <c r="G323" s="149">
        <f>E323*F323</f>
        <v>14.82</v>
      </c>
    </row>
    <row r="324" spans="2:7" ht="16.5" customHeight="1">
      <c r="B324" s="115" t="s">
        <v>477</v>
      </c>
      <c r="C324" s="122" t="s">
        <v>478</v>
      </c>
      <c r="D324" s="139" t="s">
        <v>476</v>
      </c>
      <c r="E324" s="139">
        <v>1</v>
      </c>
      <c r="F324" s="115">
        <v>11.74</v>
      </c>
      <c r="G324" s="149">
        <f t="shared" ref="G324:G332" si="5">E324*F324</f>
        <v>11.74</v>
      </c>
    </row>
    <row r="325" spans="2:7">
      <c r="B325" s="123" t="s">
        <v>517</v>
      </c>
      <c r="C325" s="122" t="s">
        <v>516</v>
      </c>
      <c r="D325" s="118" t="s">
        <v>10</v>
      </c>
      <c r="E325" s="139">
        <v>1</v>
      </c>
      <c r="F325" s="115">
        <v>10.47</v>
      </c>
      <c r="G325" s="149">
        <f t="shared" si="5"/>
        <v>10.47</v>
      </c>
    </row>
    <row r="326" spans="2:7">
      <c r="B326" s="123" t="s">
        <v>519</v>
      </c>
      <c r="C326" s="122" t="s">
        <v>518</v>
      </c>
      <c r="D326" s="118" t="s">
        <v>10</v>
      </c>
      <c r="E326" s="139">
        <v>1</v>
      </c>
      <c r="F326" s="115">
        <v>57.61</v>
      </c>
      <c r="G326" s="149">
        <f t="shared" si="5"/>
        <v>57.61</v>
      </c>
    </row>
    <row r="327" spans="2:7" ht="38.25">
      <c r="B327" s="123" t="s">
        <v>520</v>
      </c>
      <c r="C327" s="122" t="s">
        <v>524</v>
      </c>
      <c r="D327" s="118" t="s">
        <v>10</v>
      </c>
      <c r="E327" s="139">
        <v>1</v>
      </c>
      <c r="F327" s="115">
        <v>313.92</v>
      </c>
      <c r="G327" s="149">
        <f t="shared" si="5"/>
        <v>313.92</v>
      </c>
    </row>
    <row r="328" spans="2:7" ht="25.5">
      <c r="B328" s="123" t="s">
        <v>532</v>
      </c>
      <c r="C328" s="119" t="s">
        <v>521</v>
      </c>
      <c r="D328" s="118" t="s">
        <v>10</v>
      </c>
      <c r="E328" s="139">
        <v>1</v>
      </c>
      <c r="F328" s="139">
        <v>165</v>
      </c>
      <c r="G328" s="149">
        <f t="shared" si="5"/>
        <v>165</v>
      </c>
    </row>
    <row r="329" spans="2:7" ht="25.5">
      <c r="B329" s="123" t="s">
        <v>522</v>
      </c>
      <c r="C329" s="122" t="s">
        <v>523</v>
      </c>
      <c r="D329" s="118" t="s">
        <v>10</v>
      </c>
      <c r="E329" s="123">
        <v>1</v>
      </c>
      <c r="F329" s="123">
        <v>106.85</v>
      </c>
      <c r="G329" s="125">
        <f t="shared" si="5"/>
        <v>106.85</v>
      </c>
    </row>
    <row r="330" spans="2:7" ht="25.5">
      <c r="B330" s="123" t="s">
        <v>525</v>
      </c>
      <c r="C330" s="122" t="s">
        <v>526</v>
      </c>
      <c r="D330" s="118" t="s">
        <v>10</v>
      </c>
      <c r="E330" s="123">
        <v>1</v>
      </c>
      <c r="F330" s="123">
        <v>144.57</v>
      </c>
      <c r="G330" s="125">
        <f t="shared" si="5"/>
        <v>144.57</v>
      </c>
    </row>
    <row r="331" spans="2:7" ht="25.5">
      <c r="B331" s="123" t="s">
        <v>528</v>
      </c>
      <c r="C331" s="122" t="s">
        <v>529</v>
      </c>
      <c r="D331" s="118" t="s">
        <v>10</v>
      </c>
      <c r="E331" s="123">
        <v>1</v>
      </c>
      <c r="F331" s="123">
        <v>528.04</v>
      </c>
      <c r="G331" s="125">
        <f t="shared" si="5"/>
        <v>528.04</v>
      </c>
    </row>
    <row r="332" spans="2:7" ht="25.5">
      <c r="B332" s="123" t="s">
        <v>530</v>
      </c>
      <c r="C332" s="122" t="s">
        <v>531</v>
      </c>
      <c r="D332" s="118" t="s">
        <v>10</v>
      </c>
      <c r="E332" s="123">
        <v>1</v>
      </c>
      <c r="F332" s="123">
        <v>921.78</v>
      </c>
      <c r="G332" s="125">
        <f t="shared" si="5"/>
        <v>921.78</v>
      </c>
    </row>
    <row r="333" spans="2:7">
      <c r="B333" s="123"/>
      <c r="C333" s="122"/>
      <c r="D333" s="118"/>
      <c r="E333" s="123"/>
      <c r="F333" s="123"/>
      <c r="G333" s="125">
        <f>SUM(G323:G332)</f>
        <v>2274.8000000000002</v>
      </c>
    </row>
    <row r="336" spans="2:7" ht="25.5">
      <c r="B336" s="368" t="s">
        <v>229</v>
      </c>
      <c r="C336" s="112" t="s">
        <v>397</v>
      </c>
      <c r="D336" s="587" t="s">
        <v>463</v>
      </c>
      <c r="E336" s="598"/>
      <c r="F336" s="598"/>
      <c r="G336" s="599"/>
    </row>
    <row r="337" spans="1:7">
      <c r="B337" s="114" t="s">
        <v>461</v>
      </c>
      <c r="C337" s="322" t="s">
        <v>462</v>
      </c>
      <c r="D337" s="115" t="s">
        <v>463</v>
      </c>
      <c r="E337" s="115" t="s">
        <v>464</v>
      </c>
      <c r="F337" s="116" t="s">
        <v>465</v>
      </c>
      <c r="G337" s="126" t="s">
        <v>466</v>
      </c>
    </row>
    <row r="338" spans="1:7" ht="25.5">
      <c r="B338" s="123" t="s">
        <v>533</v>
      </c>
      <c r="C338" s="122" t="s">
        <v>397</v>
      </c>
      <c r="D338" s="123" t="s">
        <v>527</v>
      </c>
      <c r="E338" s="123">
        <v>1</v>
      </c>
      <c r="F338" s="123">
        <v>28.37</v>
      </c>
      <c r="G338" s="125">
        <f>E338*F338</f>
        <v>28.37</v>
      </c>
    </row>
    <row r="339" spans="1:7">
      <c r="B339" s="595"/>
      <c r="C339" s="596"/>
      <c r="D339" s="596"/>
      <c r="E339" s="596"/>
      <c r="F339" s="597"/>
      <c r="G339" s="125">
        <f>SUM(G338)</f>
        <v>28.37</v>
      </c>
    </row>
    <row r="341" spans="1:7">
      <c r="B341" s="368" t="s">
        <v>406</v>
      </c>
      <c r="C341" s="112" t="s">
        <v>405</v>
      </c>
      <c r="D341" s="587" t="s">
        <v>9</v>
      </c>
      <c r="E341" s="598"/>
      <c r="F341" s="598"/>
      <c r="G341" s="599"/>
    </row>
    <row r="342" spans="1:7">
      <c r="B342" s="114" t="s">
        <v>461</v>
      </c>
      <c r="C342" s="322" t="s">
        <v>462</v>
      </c>
      <c r="D342" s="115" t="s">
        <v>463</v>
      </c>
      <c r="E342" s="115" t="s">
        <v>464</v>
      </c>
      <c r="F342" s="116" t="s">
        <v>465</v>
      </c>
      <c r="G342" s="126" t="s">
        <v>466</v>
      </c>
    </row>
    <row r="343" spans="1:7">
      <c r="A343" s="110"/>
      <c r="B343" s="123" t="s">
        <v>536</v>
      </c>
      <c r="C343" s="122" t="s">
        <v>537</v>
      </c>
      <c r="D343" s="123" t="s">
        <v>11</v>
      </c>
      <c r="E343" s="123">
        <v>0.6</v>
      </c>
      <c r="F343" s="123">
        <v>7.36</v>
      </c>
      <c r="G343" s="125">
        <f>E343*F343</f>
        <v>4.4160000000000004</v>
      </c>
    </row>
    <row r="344" spans="1:7">
      <c r="A344" s="110"/>
      <c r="B344" s="123" t="s">
        <v>538</v>
      </c>
      <c r="C344" s="122" t="s">
        <v>539</v>
      </c>
      <c r="D344" s="123" t="s">
        <v>540</v>
      </c>
      <c r="E344" s="123">
        <v>1</v>
      </c>
      <c r="F344" s="123">
        <v>313.92</v>
      </c>
      <c r="G344" s="125">
        <f>E344*F344</f>
        <v>313.92</v>
      </c>
    </row>
    <row r="345" spans="1:7">
      <c r="A345" s="110"/>
      <c r="B345" s="123" t="s">
        <v>474</v>
      </c>
      <c r="C345" s="122" t="s">
        <v>475</v>
      </c>
      <c r="D345" s="123" t="s">
        <v>535</v>
      </c>
      <c r="E345" s="123">
        <v>1</v>
      </c>
      <c r="F345" s="123">
        <v>14.85</v>
      </c>
      <c r="G345" s="125">
        <f>E345*F345</f>
        <v>14.85</v>
      </c>
    </row>
    <row r="346" spans="1:7">
      <c r="A346" s="110"/>
      <c r="B346" s="123" t="s">
        <v>477</v>
      </c>
      <c r="C346" s="122" t="s">
        <v>478</v>
      </c>
      <c r="D346" s="123" t="s">
        <v>535</v>
      </c>
      <c r="E346" s="123">
        <v>1</v>
      </c>
      <c r="F346" s="123">
        <v>11.74</v>
      </c>
      <c r="G346" s="125">
        <f>E346*F346</f>
        <v>11.74</v>
      </c>
    </row>
    <row r="347" spans="1:7">
      <c r="B347" s="115"/>
      <c r="C347" s="603"/>
      <c r="D347" s="604"/>
      <c r="E347" s="604"/>
      <c r="F347" s="605"/>
      <c r="G347" s="125">
        <f>SUM(G343:G346)</f>
        <v>344.92600000000004</v>
      </c>
    </row>
    <row r="348" spans="1:7">
      <c r="E348" s="280"/>
    </row>
    <row r="349" spans="1:7">
      <c r="E349" s="280"/>
    </row>
    <row r="350" spans="1:7" ht="38.25">
      <c r="B350" s="368" t="s">
        <v>1234</v>
      </c>
      <c r="C350" s="112" t="s">
        <v>1254</v>
      </c>
      <c r="D350" s="587" t="s">
        <v>463</v>
      </c>
      <c r="E350" s="598"/>
      <c r="F350" s="598"/>
      <c r="G350" s="599"/>
    </row>
    <row r="351" spans="1:7">
      <c r="B351" s="114" t="s">
        <v>461</v>
      </c>
      <c r="C351" s="322" t="s">
        <v>462</v>
      </c>
      <c r="D351" s="115" t="s">
        <v>463</v>
      </c>
      <c r="E351" s="115" t="s">
        <v>464</v>
      </c>
      <c r="F351" s="116" t="s">
        <v>465</v>
      </c>
      <c r="G351" s="126" t="s">
        <v>466</v>
      </c>
    </row>
    <row r="352" spans="1:7">
      <c r="A352" s="110"/>
      <c r="B352" s="123" t="s">
        <v>1235</v>
      </c>
      <c r="C352" s="486" t="s">
        <v>1236</v>
      </c>
      <c r="D352" s="147" t="s">
        <v>527</v>
      </c>
      <c r="E352" s="147">
        <v>1</v>
      </c>
      <c r="F352" s="128">
        <v>8.6300000000000008</v>
      </c>
      <c r="G352" s="426">
        <f>E352*F352</f>
        <v>8.6300000000000008</v>
      </c>
    </row>
    <row r="353" spans="1:7">
      <c r="A353" s="110"/>
      <c r="B353" s="123" t="s">
        <v>1237</v>
      </c>
      <c r="C353" s="486" t="s">
        <v>1238</v>
      </c>
      <c r="D353" s="147" t="s">
        <v>499</v>
      </c>
      <c r="E353" s="147">
        <v>1</v>
      </c>
      <c r="F353" s="147">
        <v>26.45</v>
      </c>
      <c r="G353" s="426">
        <f t="shared" ref="G353:G365" si="6">E353*F353</f>
        <v>26.45</v>
      </c>
    </row>
    <row r="354" spans="1:7">
      <c r="A354" s="110"/>
      <c r="B354" s="123" t="s">
        <v>1239</v>
      </c>
      <c r="C354" s="486" t="s">
        <v>1240</v>
      </c>
      <c r="D354" s="147" t="s">
        <v>527</v>
      </c>
      <c r="E354" s="147">
        <v>1</v>
      </c>
      <c r="F354" s="147">
        <v>116</v>
      </c>
      <c r="G354" s="426">
        <f t="shared" si="6"/>
        <v>116</v>
      </c>
    </row>
    <row r="355" spans="1:7">
      <c r="A355" s="110"/>
      <c r="B355" s="123" t="s">
        <v>1241</v>
      </c>
      <c r="C355" s="486" t="s">
        <v>1242</v>
      </c>
      <c r="D355" s="147" t="s">
        <v>527</v>
      </c>
      <c r="E355" s="147">
        <v>1</v>
      </c>
      <c r="F355" s="147">
        <v>5.92</v>
      </c>
      <c r="G355" s="426">
        <f t="shared" si="6"/>
        <v>5.92</v>
      </c>
    </row>
    <row r="356" spans="1:7">
      <c r="A356" s="110"/>
      <c r="B356" s="123" t="s">
        <v>1243</v>
      </c>
      <c r="C356" s="486" t="s">
        <v>1244</v>
      </c>
      <c r="D356" s="147" t="s">
        <v>527</v>
      </c>
      <c r="E356" s="147">
        <v>1</v>
      </c>
      <c r="F356" s="147">
        <v>27.95</v>
      </c>
      <c r="G356" s="426">
        <f t="shared" si="6"/>
        <v>27.95</v>
      </c>
    </row>
    <row r="357" spans="1:7">
      <c r="A357" s="110"/>
      <c r="B357" s="114" t="s">
        <v>496</v>
      </c>
      <c r="C357" s="119" t="s">
        <v>511</v>
      </c>
      <c r="D357" s="147" t="s">
        <v>535</v>
      </c>
      <c r="E357" s="147">
        <v>2</v>
      </c>
      <c r="F357" s="147">
        <v>14.82</v>
      </c>
      <c r="G357" s="426">
        <f t="shared" si="6"/>
        <v>29.64</v>
      </c>
    </row>
    <row r="358" spans="1:7">
      <c r="A358" s="110"/>
      <c r="B358" s="123" t="s">
        <v>477</v>
      </c>
      <c r="C358" s="122" t="s">
        <v>478</v>
      </c>
      <c r="D358" s="147" t="s">
        <v>535</v>
      </c>
      <c r="E358" s="147">
        <v>2</v>
      </c>
      <c r="F358" s="147">
        <v>11.74</v>
      </c>
      <c r="G358" s="426">
        <f t="shared" si="6"/>
        <v>23.48</v>
      </c>
    </row>
    <row r="359" spans="1:7">
      <c r="A359" s="110"/>
      <c r="B359" s="123" t="s">
        <v>1246</v>
      </c>
      <c r="C359" s="486" t="s">
        <v>1247</v>
      </c>
      <c r="D359" s="147" t="s">
        <v>527</v>
      </c>
      <c r="E359" s="147">
        <v>1</v>
      </c>
      <c r="F359" s="147">
        <v>1.55</v>
      </c>
      <c r="G359" s="426">
        <f t="shared" si="6"/>
        <v>1.55</v>
      </c>
    </row>
    <row r="360" spans="1:7">
      <c r="A360" s="110"/>
      <c r="B360" s="123" t="s">
        <v>1248</v>
      </c>
      <c r="C360" s="486" t="s">
        <v>1249</v>
      </c>
      <c r="D360" s="147" t="s">
        <v>527</v>
      </c>
      <c r="E360" s="147">
        <v>1</v>
      </c>
      <c r="F360" s="147">
        <v>2.4300000000000002</v>
      </c>
      <c r="G360" s="426">
        <f t="shared" si="6"/>
        <v>2.4300000000000002</v>
      </c>
    </row>
    <row r="361" spans="1:7">
      <c r="A361" s="110"/>
      <c r="B361" s="123" t="s">
        <v>1059</v>
      </c>
      <c r="C361" s="486" t="s">
        <v>1060</v>
      </c>
      <c r="D361" s="147" t="s">
        <v>527</v>
      </c>
      <c r="E361" s="147">
        <v>1</v>
      </c>
      <c r="F361" s="147">
        <v>3.05</v>
      </c>
      <c r="G361" s="426">
        <f t="shared" si="6"/>
        <v>3.05</v>
      </c>
    </row>
    <row r="362" spans="1:7">
      <c r="A362" s="110"/>
      <c r="B362" s="123" t="s">
        <v>1250</v>
      </c>
      <c r="C362" s="486" t="s">
        <v>1251</v>
      </c>
      <c r="D362" s="147" t="s">
        <v>540</v>
      </c>
      <c r="E362" s="147">
        <v>0.18720000000000001</v>
      </c>
      <c r="F362" s="147">
        <v>59.88</v>
      </c>
      <c r="G362" s="426">
        <f t="shared" si="6"/>
        <v>11.209536</v>
      </c>
    </row>
    <row r="363" spans="1:7">
      <c r="A363" s="110"/>
      <c r="B363" s="123" t="s">
        <v>743</v>
      </c>
      <c r="C363" s="486" t="s">
        <v>742</v>
      </c>
      <c r="D363" s="147" t="s">
        <v>543</v>
      </c>
      <c r="E363" s="147">
        <v>1.5599999999999999E-2</v>
      </c>
      <c r="F363" s="147">
        <v>392.67</v>
      </c>
      <c r="G363" s="426">
        <f t="shared" si="6"/>
        <v>6.1256519999999997</v>
      </c>
    </row>
    <row r="364" spans="1:7">
      <c r="A364" s="110"/>
      <c r="B364" s="123" t="s">
        <v>541</v>
      </c>
      <c r="C364" s="486" t="s">
        <v>542</v>
      </c>
      <c r="D364" s="147" t="s">
        <v>543</v>
      </c>
      <c r="E364" s="147">
        <v>1.4999999999999999E-2</v>
      </c>
      <c r="F364" s="147">
        <v>375.3</v>
      </c>
      <c r="G364" s="426">
        <f t="shared" si="6"/>
        <v>5.6295000000000002</v>
      </c>
    </row>
    <row r="365" spans="1:7">
      <c r="A365" s="110"/>
      <c r="B365" s="123" t="s">
        <v>1252</v>
      </c>
      <c r="C365" s="486" t="s">
        <v>1253</v>
      </c>
      <c r="D365" s="147" t="s">
        <v>11</v>
      </c>
      <c r="E365" s="147">
        <v>1.5</v>
      </c>
      <c r="F365" s="147">
        <v>7.48</v>
      </c>
      <c r="G365" s="426">
        <f t="shared" si="6"/>
        <v>11.22</v>
      </c>
    </row>
    <row r="366" spans="1:7">
      <c r="A366" s="110"/>
      <c r="B366" s="123"/>
      <c r="C366" s="603"/>
      <c r="D366" s="604"/>
      <c r="E366" s="604"/>
      <c r="F366" s="605"/>
      <c r="G366" s="426">
        <f>SUM(G352:G365)</f>
        <v>279.28468800000002</v>
      </c>
    </row>
    <row r="367" spans="1:7">
      <c r="A367" s="110"/>
      <c r="B367" s="326"/>
      <c r="C367" s="479"/>
      <c r="D367" s="129"/>
      <c r="E367" s="129"/>
      <c r="F367" s="129"/>
      <c r="G367" s="427"/>
    </row>
    <row r="368" spans="1:7" ht="25.5">
      <c r="A368" s="110"/>
      <c r="B368" s="368" t="s">
        <v>545</v>
      </c>
      <c r="C368" s="112" t="s">
        <v>401</v>
      </c>
      <c r="D368" s="587" t="s">
        <v>463</v>
      </c>
      <c r="E368" s="598"/>
      <c r="F368" s="598"/>
      <c r="G368" s="599"/>
    </row>
    <row r="369" spans="1:7">
      <c r="A369" s="110"/>
      <c r="B369" s="123" t="s">
        <v>546</v>
      </c>
      <c r="C369" s="119" t="s">
        <v>1255</v>
      </c>
      <c r="D369" s="147" t="s">
        <v>527</v>
      </c>
      <c r="E369" s="147">
        <v>1</v>
      </c>
      <c r="F369" s="147">
        <v>22</v>
      </c>
      <c r="G369" s="147">
        <f>E369*F369</f>
        <v>22</v>
      </c>
    </row>
    <row r="370" spans="1:7">
      <c r="A370" s="110"/>
      <c r="B370" s="123" t="s">
        <v>477</v>
      </c>
      <c r="C370" s="122" t="s">
        <v>478</v>
      </c>
      <c r="D370" s="147" t="s">
        <v>535</v>
      </c>
      <c r="E370" s="147">
        <v>1</v>
      </c>
      <c r="F370" s="147">
        <v>11.74</v>
      </c>
      <c r="G370" s="147">
        <f>E370*F370</f>
        <v>11.74</v>
      </c>
    </row>
    <row r="371" spans="1:7">
      <c r="A371" s="110"/>
      <c r="B371" s="123"/>
      <c r="C371" s="595"/>
      <c r="D371" s="596"/>
      <c r="E371" s="596"/>
      <c r="F371" s="597"/>
      <c r="G371" s="147">
        <f>SUM(G369:G370)</f>
        <v>33.74</v>
      </c>
    </row>
    <row r="372" spans="1:7">
      <c r="A372" s="110"/>
      <c r="B372" s="326"/>
      <c r="C372" s="479"/>
      <c r="D372" s="129"/>
      <c r="E372" s="129"/>
      <c r="F372" s="129"/>
      <c r="G372" s="129"/>
    </row>
    <row r="374" spans="1:7" ht="30.75" customHeight="1">
      <c r="B374" s="368" t="s">
        <v>165</v>
      </c>
      <c r="C374" s="112" t="s">
        <v>553</v>
      </c>
      <c r="D374" s="587" t="s">
        <v>463</v>
      </c>
      <c r="E374" s="598"/>
      <c r="F374" s="598"/>
      <c r="G374" s="599"/>
    </row>
    <row r="375" spans="1:7">
      <c r="B375" s="114" t="s">
        <v>461</v>
      </c>
      <c r="C375" s="322" t="s">
        <v>462</v>
      </c>
      <c r="D375" s="115" t="s">
        <v>463</v>
      </c>
      <c r="E375" s="115" t="s">
        <v>464</v>
      </c>
      <c r="F375" s="116" t="s">
        <v>465</v>
      </c>
      <c r="G375" s="126" t="s">
        <v>466</v>
      </c>
    </row>
    <row r="376" spans="1:7">
      <c r="B376" s="123" t="s">
        <v>551</v>
      </c>
      <c r="C376" s="122" t="s">
        <v>552</v>
      </c>
      <c r="D376" s="123" t="s">
        <v>527</v>
      </c>
      <c r="E376" s="123">
        <v>1</v>
      </c>
      <c r="F376" s="123">
        <v>150</v>
      </c>
      <c r="G376" s="125">
        <f>E376*F376</f>
        <v>150</v>
      </c>
    </row>
    <row r="377" spans="1:7">
      <c r="B377" s="123" t="s">
        <v>474</v>
      </c>
      <c r="C377" s="122" t="s">
        <v>475</v>
      </c>
      <c r="D377" s="123" t="s">
        <v>476</v>
      </c>
      <c r="E377" s="123">
        <v>0.3</v>
      </c>
      <c r="F377" s="123">
        <v>14.85</v>
      </c>
      <c r="G377" s="125">
        <f>E377*F377</f>
        <v>4.4550000000000001</v>
      </c>
    </row>
    <row r="378" spans="1:7">
      <c r="B378" s="115"/>
      <c r="C378" s="603"/>
      <c r="D378" s="604"/>
      <c r="E378" s="604"/>
      <c r="F378" s="605"/>
      <c r="G378" s="125">
        <f>SUM(G376:G377)</f>
        <v>154.45500000000001</v>
      </c>
    </row>
    <row r="381" spans="1:7" ht="25.5">
      <c r="B381" s="143" t="s">
        <v>554</v>
      </c>
      <c r="C381" s="144" t="s">
        <v>497</v>
      </c>
      <c r="D381" s="590" t="s">
        <v>499</v>
      </c>
      <c r="E381" s="590"/>
      <c r="F381" s="590"/>
      <c r="G381" s="590"/>
    </row>
    <row r="382" spans="1:7">
      <c r="B382" s="114" t="s">
        <v>461</v>
      </c>
      <c r="C382" s="322" t="s">
        <v>462</v>
      </c>
      <c r="D382" s="115" t="s">
        <v>463</v>
      </c>
      <c r="E382" s="115" t="s">
        <v>464</v>
      </c>
      <c r="F382" s="116" t="s">
        <v>465</v>
      </c>
      <c r="G382" s="126" t="s">
        <v>466</v>
      </c>
    </row>
    <row r="383" spans="1:7">
      <c r="A383" s="110"/>
      <c r="B383" s="123" t="s">
        <v>555</v>
      </c>
      <c r="C383" s="122" t="s">
        <v>556</v>
      </c>
      <c r="D383" s="123" t="s">
        <v>499</v>
      </c>
      <c r="E383" s="123">
        <v>1</v>
      </c>
      <c r="F383" s="123">
        <v>331.28</v>
      </c>
      <c r="G383" s="125">
        <f>E383*F383</f>
        <v>331.28</v>
      </c>
    </row>
    <row r="384" spans="1:7">
      <c r="A384" s="110"/>
      <c r="B384" s="123" t="s">
        <v>474</v>
      </c>
      <c r="C384" s="122" t="s">
        <v>475</v>
      </c>
      <c r="D384" s="123" t="s">
        <v>476</v>
      </c>
      <c r="E384" s="123">
        <v>0.3</v>
      </c>
      <c r="F384" s="123">
        <v>14.85</v>
      </c>
      <c r="G384" s="125">
        <f>E384*F384</f>
        <v>4.4550000000000001</v>
      </c>
    </row>
    <row r="385" spans="1:7">
      <c r="B385" s="115"/>
      <c r="C385" s="603"/>
      <c r="D385" s="604"/>
      <c r="E385" s="604"/>
      <c r="F385" s="605"/>
      <c r="G385" s="125">
        <f>SUM(G383:G384)</f>
        <v>335.73499999999996</v>
      </c>
    </row>
    <row r="388" spans="1:7">
      <c r="B388" s="143" t="s">
        <v>557</v>
      </c>
      <c r="C388" s="144" t="s">
        <v>209</v>
      </c>
      <c r="D388" s="587" t="s">
        <v>463</v>
      </c>
      <c r="E388" s="598"/>
      <c r="F388" s="598"/>
      <c r="G388" s="599"/>
    </row>
    <row r="389" spans="1:7" ht="18" customHeight="1">
      <c r="B389" s="114" t="s">
        <v>461</v>
      </c>
      <c r="C389" s="322" t="s">
        <v>462</v>
      </c>
      <c r="D389" s="115" t="s">
        <v>463</v>
      </c>
      <c r="E389" s="115" t="s">
        <v>464</v>
      </c>
      <c r="F389" s="116" t="s">
        <v>465</v>
      </c>
      <c r="G389" s="126" t="s">
        <v>466</v>
      </c>
    </row>
    <row r="390" spans="1:7">
      <c r="A390" s="110"/>
      <c r="B390" s="123" t="s">
        <v>474</v>
      </c>
      <c r="C390" s="122" t="s">
        <v>475</v>
      </c>
      <c r="D390" s="123" t="s">
        <v>535</v>
      </c>
      <c r="E390" s="123">
        <v>0.6</v>
      </c>
      <c r="F390" s="123">
        <v>14.85</v>
      </c>
      <c r="G390" s="125">
        <f>E390*F390</f>
        <v>8.91</v>
      </c>
    </row>
    <row r="391" spans="1:7">
      <c r="A391" s="110"/>
      <c r="B391" s="123" t="s">
        <v>477</v>
      </c>
      <c r="C391" s="122" t="s">
        <v>478</v>
      </c>
      <c r="D391" s="123" t="s">
        <v>535</v>
      </c>
      <c r="E391" s="123">
        <v>0.6</v>
      </c>
      <c r="F391" s="123">
        <v>11.74</v>
      </c>
      <c r="G391" s="125">
        <f>E391*F391</f>
        <v>7.0439999999999996</v>
      </c>
    </row>
    <row r="392" spans="1:7">
      <c r="A392" s="110"/>
      <c r="B392" s="123" t="s">
        <v>558</v>
      </c>
      <c r="C392" s="122" t="s">
        <v>209</v>
      </c>
      <c r="D392" s="123" t="s">
        <v>527</v>
      </c>
      <c r="E392" s="123">
        <v>1</v>
      </c>
      <c r="F392" s="123">
        <v>24.49</v>
      </c>
      <c r="G392" s="125">
        <f>E392*F392</f>
        <v>24.49</v>
      </c>
    </row>
    <row r="393" spans="1:7" ht="25.5">
      <c r="A393" s="110"/>
      <c r="B393" s="123" t="s">
        <v>559</v>
      </c>
      <c r="C393" s="122" t="s">
        <v>560</v>
      </c>
      <c r="D393" s="123" t="s">
        <v>543</v>
      </c>
      <c r="E393" s="123">
        <v>1E-3</v>
      </c>
      <c r="F393" s="123">
        <v>296.16000000000003</v>
      </c>
      <c r="G393" s="125">
        <f>E393*F393</f>
        <v>0.29616000000000003</v>
      </c>
    </row>
    <row r="394" spans="1:7">
      <c r="B394" s="123"/>
      <c r="C394" s="595"/>
      <c r="D394" s="596"/>
      <c r="E394" s="596"/>
      <c r="F394" s="597"/>
      <c r="G394" s="125">
        <f>SUM(G390:G393)</f>
        <v>40.740160000000003</v>
      </c>
    </row>
    <row r="396" spans="1:7" ht="18" customHeight="1">
      <c r="B396" s="143" t="s">
        <v>564</v>
      </c>
      <c r="C396" s="144" t="s">
        <v>210</v>
      </c>
      <c r="D396" s="587" t="s">
        <v>463</v>
      </c>
      <c r="E396" s="598"/>
      <c r="F396" s="598"/>
      <c r="G396" s="599"/>
    </row>
    <row r="397" spans="1:7">
      <c r="B397" s="114" t="s">
        <v>461</v>
      </c>
      <c r="C397" s="322" t="s">
        <v>462</v>
      </c>
      <c r="D397" s="115" t="s">
        <v>463</v>
      </c>
      <c r="E397" s="115" t="s">
        <v>464</v>
      </c>
      <c r="F397" s="116" t="s">
        <v>465</v>
      </c>
      <c r="G397" s="126" t="s">
        <v>466</v>
      </c>
    </row>
    <row r="398" spans="1:7">
      <c r="A398" s="110"/>
      <c r="B398" s="123" t="s">
        <v>561</v>
      </c>
      <c r="C398" s="122" t="s">
        <v>562</v>
      </c>
      <c r="D398" s="123" t="s">
        <v>563</v>
      </c>
      <c r="E398" s="123">
        <v>1</v>
      </c>
      <c r="F398" s="123">
        <v>42.06</v>
      </c>
      <c r="G398" s="125">
        <f>E398*F398</f>
        <v>42.06</v>
      </c>
    </row>
    <row r="399" spans="1:7">
      <c r="A399" s="110"/>
      <c r="B399" s="123" t="s">
        <v>496</v>
      </c>
      <c r="C399" s="122" t="s">
        <v>511</v>
      </c>
      <c r="D399" s="123" t="s">
        <v>535</v>
      </c>
      <c r="E399" s="123">
        <v>0.15</v>
      </c>
      <c r="F399" s="123">
        <v>14.82</v>
      </c>
      <c r="G399" s="125">
        <f>E399*F399</f>
        <v>2.2229999999999999</v>
      </c>
    </row>
    <row r="400" spans="1:7">
      <c r="B400" s="123"/>
      <c r="C400" s="595"/>
      <c r="D400" s="596"/>
      <c r="E400" s="596"/>
      <c r="F400" s="597"/>
      <c r="G400" s="125">
        <f>SUM(G398:G399)</f>
        <v>44.283000000000001</v>
      </c>
    </row>
    <row r="403" spans="1:7" ht="16.5" customHeight="1">
      <c r="B403" s="143" t="s">
        <v>568</v>
      </c>
      <c r="C403" s="144" t="s">
        <v>211</v>
      </c>
      <c r="D403" s="587" t="s">
        <v>463</v>
      </c>
      <c r="E403" s="598"/>
      <c r="F403" s="598"/>
      <c r="G403" s="599"/>
    </row>
    <row r="404" spans="1:7">
      <c r="B404" s="114" t="s">
        <v>461</v>
      </c>
      <c r="C404" s="322" t="s">
        <v>462</v>
      </c>
      <c r="D404" s="115" t="s">
        <v>463</v>
      </c>
      <c r="E404" s="115" t="s">
        <v>464</v>
      </c>
      <c r="F404" s="116" t="s">
        <v>465</v>
      </c>
      <c r="G404" s="126" t="s">
        <v>466</v>
      </c>
    </row>
    <row r="405" spans="1:7">
      <c r="A405" s="110"/>
      <c r="B405" s="123" t="s">
        <v>474</v>
      </c>
      <c r="C405" s="122" t="s">
        <v>475</v>
      </c>
      <c r="D405" s="123" t="s">
        <v>535</v>
      </c>
      <c r="E405" s="123">
        <v>0.1</v>
      </c>
      <c r="F405" s="123">
        <v>14.85</v>
      </c>
      <c r="G405" s="125">
        <f>E405*F405</f>
        <v>1.4850000000000001</v>
      </c>
    </row>
    <row r="406" spans="1:7">
      <c r="A406" s="110"/>
      <c r="B406" s="123" t="s">
        <v>566</v>
      </c>
      <c r="C406" s="122" t="s">
        <v>567</v>
      </c>
      <c r="D406" s="123" t="s">
        <v>527</v>
      </c>
      <c r="E406" s="123">
        <v>1</v>
      </c>
      <c r="F406" s="123">
        <v>55</v>
      </c>
      <c r="G406" s="125">
        <f>E406*F406</f>
        <v>55</v>
      </c>
    </row>
    <row r="407" spans="1:7">
      <c r="B407" s="123"/>
      <c r="C407" s="595"/>
      <c r="D407" s="596"/>
      <c r="E407" s="596"/>
      <c r="F407" s="597"/>
      <c r="G407" s="125">
        <f>SUM(G405:G406)</f>
        <v>56.484999999999999</v>
      </c>
    </row>
    <row r="410" spans="1:7" ht="16.5" customHeight="1">
      <c r="B410" s="143" t="s">
        <v>171</v>
      </c>
      <c r="C410" s="144" t="s">
        <v>1052</v>
      </c>
      <c r="D410" s="587" t="s">
        <v>463</v>
      </c>
      <c r="E410" s="598"/>
      <c r="F410" s="598"/>
      <c r="G410" s="599"/>
    </row>
    <row r="411" spans="1:7">
      <c r="B411" s="114" t="s">
        <v>461</v>
      </c>
      <c r="C411" s="322" t="s">
        <v>462</v>
      </c>
      <c r="D411" s="115" t="s">
        <v>463</v>
      </c>
      <c r="E411" s="115" t="s">
        <v>464</v>
      </c>
      <c r="F411" s="116" t="s">
        <v>465</v>
      </c>
      <c r="G411" s="126" t="s">
        <v>466</v>
      </c>
    </row>
    <row r="412" spans="1:7">
      <c r="A412" s="110"/>
      <c r="B412" s="123" t="s">
        <v>570</v>
      </c>
      <c r="C412" s="122" t="s">
        <v>571</v>
      </c>
      <c r="D412" s="123" t="s">
        <v>11</v>
      </c>
      <c r="E412" s="123">
        <v>0.5</v>
      </c>
      <c r="F412" s="123">
        <v>0.2</v>
      </c>
      <c r="G412" s="123">
        <f>E412*F412</f>
        <v>0.1</v>
      </c>
    </row>
    <row r="413" spans="1:7">
      <c r="A413" s="110"/>
      <c r="B413" s="123" t="s">
        <v>1053</v>
      </c>
      <c r="C413" s="122" t="s">
        <v>1056</v>
      </c>
      <c r="D413" s="123" t="s">
        <v>535</v>
      </c>
      <c r="E413" s="123">
        <v>0.5</v>
      </c>
      <c r="F413" s="123">
        <v>14.82</v>
      </c>
      <c r="G413" s="123">
        <f>E413*F413</f>
        <v>7.41</v>
      </c>
    </row>
    <row r="414" spans="1:7">
      <c r="A414" s="110"/>
      <c r="B414" s="123" t="s">
        <v>477</v>
      </c>
      <c r="C414" s="122" t="s">
        <v>478</v>
      </c>
      <c r="D414" s="123" t="s">
        <v>535</v>
      </c>
      <c r="E414" s="123">
        <v>0.5</v>
      </c>
      <c r="F414" s="123">
        <v>11.74</v>
      </c>
      <c r="G414" s="123">
        <f>E414*F414</f>
        <v>5.87</v>
      </c>
    </row>
    <row r="415" spans="1:7">
      <c r="A415" s="110"/>
      <c r="B415" s="123" t="s">
        <v>1054</v>
      </c>
      <c r="C415" s="122" t="s">
        <v>1055</v>
      </c>
      <c r="D415" s="123" t="s">
        <v>527</v>
      </c>
      <c r="E415" s="123">
        <v>1</v>
      </c>
      <c r="F415" s="123">
        <v>244.5</v>
      </c>
      <c r="G415" s="123">
        <f>E415*F415</f>
        <v>244.5</v>
      </c>
    </row>
    <row r="416" spans="1:7">
      <c r="A416" s="110"/>
      <c r="B416" s="123"/>
      <c r="C416" s="595"/>
      <c r="D416" s="596"/>
      <c r="E416" s="596"/>
      <c r="F416" s="597"/>
      <c r="G416" s="123">
        <f>SUM(G412:G415)</f>
        <v>257.88</v>
      </c>
    </row>
    <row r="419" spans="1:7" ht="16.5" customHeight="1">
      <c r="B419" s="143" t="s">
        <v>1058</v>
      </c>
      <c r="C419" s="144" t="s">
        <v>1057</v>
      </c>
      <c r="D419" s="587" t="s">
        <v>463</v>
      </c>
      <c r="E419" s="598"/>
      <c r="F419" s="598"/>
      <c r="G419" s="599"/>
    </row>
    <row r="420" spans="1:7">
      <c r="B420" s="114" t="s">
        <v>461</v>
      </c>
      <c r="C420" s="322" t="s">
        <v>462</v>
      </c>
      <c r="D420" s="115" t="s">
        <v>463</v>
      </c>
      <c r="E420" s="115" t="s">
        <v>464</v>
      </c>
      <c r="F420" s="116" t="s">
        <v>465</v>
      </c>
      <c r="G420" s="126" t="s">
        <v>466</v>
      </c>
    </row>
    <row r="421" spans="1:7">
      <c r="A421" s="110"/>
      <c r="B421" s="123" t="s">
        <v>570</v>
      </c>
      <c r="C421" s="122" t="s">
        <v>571</v>
      </c>
      <c r="D421" s="123" t="s">
        <v>11</v>
      </c>
      <c r="E421" s="123">
        <v>0.15</v>
      </c>
      <c r="F421" s="123">
        <v>0.2</v>
      </c>
      <c r="G421" s="125">
        <f>E421*F421</f>
        <v>0.03</v>
      </c>
    </row>
    <row r="422" spans="1:7">
      <c r="A422" s="110"/>
      <c r="B422" s="123" t="s">
        <v>1053</v>
      </c>
      <c r="C422" s="122" t="s">
        <v>1056</v>
      </c>
      <c r="D422" s="123" t="s">
        <v>535</v>
      </c>
      <c r="E422" s="123">
        <v>0.1</v>
      </c>
      <c r="F422" s="123">
        <v>14.82</v>
      </c>
      <c r="G422" s="125">
        <f>E422*F422</f>
        <v>1.4820000000000002</v>
      </c>
    </row>
    <row r="423" spans="1:7">
      <c r="A423" s="110"/>
      <c r="B423" s="123" t="s">
        <v>1059</v>
      </c>
      <c r="C423" s="122" t="s">
        <v>1060</v>
      </c>
      <c r="D423" s="123" t="s">
        <v>527</v>
      </c>
      <c r="E423" s="123">
        <v>1</v>
      </c>
      <c r="F423" s="123">
        <v>3.05</v>
      </c>
      <c r="G423" s="125">
        <f>E423*F423</f>
        <v>3.05</v>
      </c>
    </row>
    <row r="424" spans="1:7">
      <c r="A424" s="110"/>
      <c r="B424" s="123"/>
      <c r="C424" s="595"/>
      <c r="D424" s="596"/>
      <c r="E424" s="596"/>
      <c r="F424" s="597"/>
      <c r="G424" s="125">
        <f>SUM(G421:G423)</f>
        <v>4.5620000000000003</v>
      </c>
    </row>
    <row r="425" spans="1:7">
      <c r="A425" s="110"/>
      <c r="B425" s="326"/>
      <c r="C425" s="327"/>
      <c r="D425" s="326"/>
      <c r="E425" s="326"/>
      <c r="F425" s="326"/>
      <c r="G425" s="326"/>
    </row>
    <row r="426" spans="1:7">
      <c r="C426" s="138"/>
    </row>
    <row r="427" spans="1:7">
      <c r="B427" s="143" t="s">
        <v>139</v>
      </c>
      <c r="C427" s="144" t="s">
        <v>569</v>
      </c>
      <c r="D427" s="587" t="s">
        <v>463</v>
      </c>
      <c r="E427" s="588"/>
      <c r="F427" s="588"/>
      <c r="G427" s="589"/>
    </row>
    <row r="428" spans="1:7">
      <c r="B428" s="114" t="s">
        <v>461</v>
      </c>
      <c r="C428" s="322" t="s">
        <v>462</v>
      </c>
      <c r="D428" s="115" t="s">
        <v>463</v>
      </c>
      <c r="E428" s="115" t="s">
        <v>464</v>
      </c>
      <c r="F428" s="116" t="s">
        <v>465</v>
      </c>
      <c r="G428" s="126" t="s">
        <v>466</v>
      </c>
    </row>
    <row r="429" spans="1:7">
      <c r="A429" s="110"/>
      <c r="B429" s="123" t="s">
        <v>570</v>
      </c>
      <c r="C429" s="122" t="s">
        <v>571</v>
      </c>
      <c r="D429" s="123" t="s">
        <v>11</v>
      </c>
      <c r="E429" s="123">
        <v>0.42</v>
      </c>
      <c r="F429" s="123">
        <v>0.2</v>
      </c>
      <c r="G429" s="125">
        <f>E429*F429</f>
        <v>8.4000000000000005E-2</v>
      </c>
    </row>
    <row r="430" spans="1:7">
      <c r="A430" s="110"/>
      <c r="B430" s="123" t="s">
        <v>572</v>
      </c>
      <c r="C430" s="122" t="s">
        <v>569</v>
      </c>
      <c r="D430" s="123" t="s">
        <v>527</v>
      </c>
      <c r="E430" s="123">
        <v>1</v>
      </c>
      <c r="F430" s="123">
        <v>228.65</v>
      </c>
      <c r="G430" s="125">
        <f>E430*F430</f>
        <v>228.65</v>
      </c>
    </row>
    <row r="431" spans="1:7">
      <c r="A431" s="110"/>
      <c r="B431" s="123" t="s">
        <v>496</v>
      </c>
      <c r="C431" s="122" t="s">
        <v>511</v>
      </c>
      <c r="D431" s="123" t="s">
        <v>535</v>
      </c>
      <c r="E431" s="123">
        <v>0.5</v>
      </c>
      <c r="F431" s="123">
        <v>14.82</v>
      </c>
      <c r="G431" s="125">
        <f>E431*F431</f>
        <v>7.41</v>
      </c>
    </row>
    <row r="432" spans="1:7">
      <c r="B432" s="123"/>
      <c r="C432" s="122"/>
      <c r="D432" s="123"/>
      <c r="E432" s="123"/>
      <c r="F432" s="123"/>
      <c r="G432" s="125">
        <f>SUM(G429:G431)</f>
        <v>236.14400000000001</v>
      </c>
    </row>
    <row r="435" spans="1:7" ht="25.5">
      <c r="B435" s="143" t="s">
        <v>939</v>
      </c>
      <c r="C435" s="144" t="s">
        <v>948</v>
      </c>
      <c r="D435" s="587" t="s">
        <v>212</v>
      </c>
      <c r="E435" s="598"/>
      <c r="F435" s="598"/>
      <c r="G435" s="599"/>
    </row>
    <row r="436" spans="1:7">
      <c r="B436" s="114" t="s">
        <v>461</v>
      </c>
      <c r="C436" s="322" t="s">
        <v>462</v>
      </c>
      <c r="D436" s="114" t="s">
        <v>463</v>
      </c>
      <c r="E436" s="115" t="s">
        <v>464</v>
      </c>
      <c r="F436" s="116" t="s">
        <v>465</v>
      </c>
      <c r="G436" s="126" t="s">
        <v>466</v>
      </c>
    </row>
    <row r="437" spans="1:7">
      <c r="A437" s="110"/>
      <c r="B437" s="123" t="s">
        <v>474</v>
      </c>
      <c r="C437" s="122" t="s">
        <v>475</v>
      </c>
      <c r="D437" s="123" t="s">
        <v>535</v>
      </c>
      <c r="E437" s="123">
        <v>0.3</v>
      </c>
      <c r="F437" s="123">
        <v>14.85</v>
      </c>
      <c r="G437" s="125">
        <f>E437*F437</f>
        <v>4.4550000000000001</v>
      </c>
    </row>
    <row r="438" spans="1:7">
      <c r="A438" s="110"/>
      <c r="B438" s="123" t="s">
        <v>944</v>
      </c>
      <c r="C438" s="122" t="s">
        <v>945</v>
      </c>
      <c r="D438" s="123" t="s">
        <v>535</v>
      </c>
      <c r="E438" s="123">
        <v>0.3</v>
      </c>
      <c r="F438" s="123">
        <v>14.75</v>
      </c>
      <c r="G438" s="125">
        <f t="shared" ref="G438:G443" si="7">E438*F438</f>
        <v>4.4249999999999998</v>
      </c>
    </row>
    <row r="439" spans="1:7">
      <c r="A439" s="110"/>
      <c r="B439" s="123" t="s">
        <v>477</v>
      </c>
      <c r="C439" s="122" t="s">
        <v>478</v>
      </c>
      <c r="D439" s="123" t="s">
        <v>535</v>
      </c>
      <c r="E439" s="123">
        <v>0.5</v>
      </c>
      <c r="F439" s="123">
        <v>11.74</v>
      </c>
      <c r="G439" s="125">
        <f t="shared" si="7"/>
        <v>5.87</v>
      </c>
    </row>
    <row r="440" spans="1:7">
      <c r="A440" s="110"/>
      <c r="B440" s="123" t="s">
        <v>947</v>
      </c>
      <c r="C440" s="122" t="s">
        <v>946</v>
      </c>
      <c r="D440" s="123" t="s">
        <v>535</v>
      </c>
      <c r="E440" s="123">
        <v>0.3</v>
      </c>
      <c r="F440" s="123">
        <v>14.75</v>
      </c>
      <c r="G440" s="125">
        <f t="shared" si="7"/>
        <v>4.4249999999999998</v>
      </c>
    </row>
    <row r="441" spans="1:7">
      <c r="A441" s="110"/>
      <c r="B441" s="123" t="s">
        <v>940</v>
      </c>
      <c r="C441" s="122" t="s">
        <v>941</v>
      </c>
      <c r="D441" s="123" t="s">
        <v>92</v>
      </c>
      <c r="E441" s="123">
        <v>0.6</v>
      </c>
      <c r="F441" s="123">
        <v>21.14</v>
      </c>
      <c r="G441" s="125">
        <f t="shared" si="7"/>
        <v>12.683999999999999</v>
      </c>
    </row>
    <row r="442" spans="1:7" ht="27.75" customHeight="1">
      <c r="A442" s="110"/>
      <c r="B442" s="123" t="s">
        <v>942</v>
      </c>
      <c r="C442" s="122" t="s">
        <v>943</v>
      </c>
      <c r="D442" s="123" t="s">
        <v>11</v>
      </c>
      <c r="E442" s="123">
        <v>2.33</v>
      </c>
      <c r="F442" s="123">
        <v>27.6</v>
      </c>
      <c r="G442" s="125">
        <f t="shared" si="7"/>
        <v>64.308000000000007</v>
      </c>
    </row>
    <row r="443" spans="1:7" ht="27.75" customHeight="1">
      <c r="A443" s="110"/>
      <c r="B443" s="123" t="s">
        <v>541</v>
      </c>
      <c r="C443" s="122" t="s">
        <v>542</v>
      </c>
      <c r="D443" s="123" t="s">
        <v>543</v>
      </c>
      <c r="E443" s="123">
        <v>3.0000000000000001E-3</v>
      </c>
      <c r="F443" s="123">
        <v>375.3</v>
      </c>
      <c r="G443" s="125">
        <f t="shared" si="7"/>
        <v>1.1259000000000001</v>
      </c>
    </row>
    <row r="444" spans="1:7">
      <c r="B444" s="115"/>
      <c r="C444" s="325"/>
      <c r="D444" s="115"/>
      <c r="E444" s="115"/>
      <c r="F444" s="115"/>
      <c r="G444" s="126">
        <f>SUM(G437:G443)</f>
        <v>97.292900000000003</v>
      </c>
    </row>
    <row r="447" spans="1:7">
      <c r="B447" s="143" t="s">
        <v>500</v>
      </c>
      <c r="C447" s="144" t="s">
        <v>116</v>
      </c>
      <c r="D447" s="587" t="s">
        <v>9</v>
      </c>
      <c r="E447" s="598"/>
      <c r="F447" s="598"/>
      <c r="G447" s="599"/>
    </row>
    <row r="448" spans="1:7">
      <c r="B448" s="114" t="s">
        <v>461</v>
      </c>
      <c r="C448" s="322" t="s">
        <v>462</v>
      </c>
      <c r="D448" s="114" t="s">
        <v>463</v>
      </c>
      <c r="E448" s="115" t="s">
        <v>464</v>
      </c>
      <c r="F448" s="116" t="s">
        <v>465</v>
      </c>
      <c r="G448" s="126" t="s">
        <v>466</v>
      </c>
    </row>
    <row r="449" spans="1:8">
      <c r="A449" s="110"/>
      <c r="B449" s="123" t="s">
        <v>744</v>
      </c>
      <c r="C449" s="122" t="s">
        <v>949</v>
      </c>
      <c r="D449" s="123" t="s">
        <v>543</v>
      </c>
      <c r="E449" s="123">
        <v>5.0000000000000001E-3</v>
      </c>
      <c r="F449" s="123">
        <v>101.22</v>
      </c>
      <c r="G449" s="125">
        <f t="shared" ref="G449:G454" si="8">E449*F449</f>
        <v>0.50609999999999999</v>
      </c>
    </row>
    <row r="450" spans="1:8">
      <c r="A450" s="110"/>
      <c r="B450" s="123" t="s">
        <v>950</v>
      </c>
      <c r="C450" s="122" t="s">
        <v>951</v>
      </c>
      <c r="D450" s="123" t="s">
        <v>543</v>
      </c>
      <c r="E450" s="123">
        <v>0.08</v>
      </c>
      <c r="F450" s="123">
        <v>34.28</v>
      </c>
      <c r="G450" s="125">
        <f t="shared" si="8"/>
        <v>2.7423999999999999</v>
      </c>
    </row>
    <row r="451" spans="1:8">
      <c r="A451" s="110"/>
      <c r="B451" s="123" t="s">
        <v>952</v>
      </c>
      <c r="C451" s="122" t="s">
        <v>953</v>
      </c>
      <c r="D451" s="123" t="s">
        <v>92</v>
      </c>
      <c r="E451" s="123">
        <v>0.1</v>
      </c>
      <c r="F451" s="123">
        <v>1.7</v>
      </c>
      <c r="G451" s="125">
        <f t="shared" si="8"/>
        <v>0.17</v>
      </c>
    </row>
    <row r="452" spans="1:8">
      <c r="A452" s="110"/>
      <c r="B452" s="123" t="s">
        <v>954</v>
      </c>
      <c r="C452" s="122" t="s">
        <v>955</v>
      </c>
      <c r="D452" s="123" t="s">
        <v>540</v>
      </c>
      <c r="E452" s="123">
        <v>1</v>
      </c>
      <c r="F452" s="123">
        <v>7.5</v>
      </c>
      <c r="G452" s="125">
        <f t="shared" si="8"/>
        <v>7.5</v>
      </c>
      <c r="H452" s="61" t="s">
        <v>445</v>
      </c>
    </row>
    <row r="453" spans="1:8">
      <c r="A453" s="110"/>
      <c r="B453" s="123" t="s">
        <v>477</v>
      </c>
      <c r="C453" s="122" t="s">
        <v>478</v>
      </c>
      <c r="D453" s="123" t="s">
        <v>535</v>
      </c>
      <c r="E453" s="123">
        <v>0.08</v>
      </c>
      <c r="F453" s="123">
        <v>11.74</v>
      </c>
      <c r="G453" s="125">
        <f t="shared" si="8"/>
        <v>0.93920000000000003</v>
      </c>
    </row>
    <row r="454" spans="1:8">
      <c r="A454" s="110"/>
      <c r="B454" s="123" t="s">
        <v>956</v>
      </c>
      <c r="C454" s="122" t="s">
        <v>957</v>
      </c>
      <c r="D454" s="123" t="s">
        <v>535</v>
      </c>
      <c r="E454" s="123">
        <v>0.08</v>
      </c>
      <c r="F454" s="123">
        <v>14.3</v>
      </c>
      <c r="G454" s="125">
        <f t="shared" si="8"/>
        <v>1.1440000000000001</v>
      </c>
    </row>
    <row r="455" spans="1:8">
      <c r="B455" s="115"/>
      <c r="C455" s="325"/>
      <c r="D455" s="115"/>
      <c r="E455" s="115"/>
      <c r="F455" s="115"/>
      <c r="G455" s="126">
        <f>SUM(G449:G454)</f>
        <v>13.0017</v>
      </c>
    </row>
  </sheetData>
  <mergeCells count="96">
    <mergeCell ref="D156:G156"/>
    <mergeCell ref="C161:F161"/>
    <mergeCell ref="C171:F171"/>
    <mergeCell ref="D134:G134"/>
    <mergeCell ref="D374:G374"/>
    <mergeCell ref="C378:F378"/>
    <mergeCell ref="D128:G128"/>
    <mergeCell ref="C131:F131"/>
    <mergeCell ref="D350:G350"/>
    <mergeCell ref="C366:F366"/>
    <mergeCell ref="D368:G368"/>
    <mergeCell ref="C371:F371"/>
    <mergeCell ref="C186:F186"/>
    <mergeCell ref="D222:G222"/>
    <mergeCell ref="D435:G435"/>
    <mergeCell ref="D447:G447"/>
    <mergeCell ref="C407:F407"/>
    <mergeCell ref="D427:G427"/>
    <mergeCell ref="C400:F400"/>
    <mergeCell ref="D403:G403"/>
    <mergeCell ref="D410:G410"/>
    <mergeCell ref="C416:F416"/>
    <mergeCell ref="D419:G419"/>
    <mergeCell ref="C424:F424"/>
    <mergeCell ref="C318:F318"/>
    <mergeCell ref="D196:G196"/>
    <mergeCell ref="C304:F304"/>
    <mergeCell ref="D396:G396"/>
    <mergeCell ref="C394:F394"/>
    <mergeCell ref="C385:F385"/>
    <mergeCell ref="D388:G388"/>
    <mergeCell ref="D341:G341"/>
    <mergeCell ref="C347:F347"/>
    <mergeCell ref="D230:G230"/>
    <mergeCell ref="B2:G2"/>
    <mergeCell ref="B339:F339"/>
    <mergeCell ref="D313:G313"/>
    <mergeCell ref="D321:G321"/>
    <mergeCell ref="D336:G336"/>
    <mergeCell ref="D306:G306"/>
    <mergeCell ref="C310:F310"/>
    <mergeCell ref="C203:F203"/>
    <mergeCell ref="D215:G215"/>
    <mergeCell ref="D76:G76"/>
    <mergeCell ref="C153:F153"/>
    <mergeCell ref="C219:F219"/>
    <mergeCell ref="D300:G300"/>
    <mergeCell ref="D189:G189"/>
    <mergeCell ref="C193:F193"/>
    <mergeCell ref="C237:F237"/>
    <mergeCell ref="D240:G240"/>
    <mergeCell ref="D206:G206"/>
    <mergeCell ref="D250:G250"/>
    <mergeCell ref="C257:F257"/>
    <mergeCell ref="C106:F106"/>
    <mergeCell ref="D91:G91"/>
    <mergeCell ref="C94:F94"/>
    <mergeCell ref="D97:G97"/>
    <mergeCell ref="C142:F142"/>
    <mergeCell ref="D145:G145"/>
    <mergeCell ref="D109:G109"/>
    <mergeCell ref="C125:F125"/>
    <mergeCell ref="C59:F59"/>
    <mergeCell ref="D62:G62"/>
    <mergeCell ref="C66:F66"/>
    <mergeCell ref="C82:F82"/>
    <mergeCell ref="D85:G85"/>
    <mergeCell ref="C88:F88"/>
    <mergeCell ref="D69:G69"/>
    <mergeCell ref="C73:F73"/>
    <mergeCell ref="C35:F35"/>
    <mergeCell ref="D38:G38"/>
    <mergeCell ref="C42:F42"/>
    <mergeCell ref="D45:G45"/>
    <mergeCell ref="C52:F52"/>
    <mergeCell ref="D55:G55"/>
    <mergeCell ref="D290:G290"/>
    <mergeCell ref="D4:G4"/>
    <mergeCell ref="C8:F8"/>
    <mergeCell ref="D11:G11"/>
    <mergeCell ref="C15:F15"/>
    <mergeCell ref="D18:G18"/>
    <mergeCell ref="C22:F22"/>
    <mergeCell ref="D25:G25"/>
    <mergeCell ref="C29:F29"/>
    <mergeCell ref="D32:G32"/>
    <mergeCell ref="C297:F297"/>
    <mergeCell ref="C213:F213"/>
    <mergeCell ref="D260:G260"/>
    <mergeCell ref="C267:F267"/>
    <mergeCell ref="D381:G381"/>
    <mergeCell ref="C247:F247"/>
    <mergeCell ref="D270:G270"/>
    <mergeCell ref="C277:F277"/>
    <mergeCell ref="D280:G280"/>
    <mergeCell ref="C287:F287"/>
  </mergeCells>
  <hyperlinks>
    <hyperlink ref="B447" r:id="rId1" display="http://187.17.2.135/orse/composicao.asp?font_sg_fonte=ORSE&amp;serv_nr_codigo=10234&amp;peri_nr_ano=2018&amp;peri_nr_mes=9&amp;peri_nr_ordem=1"/>
  </hyperlinks>
  <pageMargins left="0.51181102362204722" right="0.51181102362204722" top="0.78740157480314965" bottom="0.78740157480314965" header="0.31496062992125984" footer="0.31496062992125984"/>
  <pageSetup paperSize="9" scale="60" orientation="portrait" verticalDpi="0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2:J237"/>
  <sheetViews>
    <sheetView topLeftCell="A205" zoomScale="145" zoomScaleNormal="145" workbookViewId="0">
      <selection activeCell="G237" sqref="C206:H237"/>
    </sheetView>
  </sheetViews>
  <sheetFormatPr defaultRowHeight="12.75"/>
  <cols>
    <col min="1" max="1" width="11.85546875" bestFit="1" customWidth="1"/>
    <col min="2" max="2" width="15.5703125" style="145" bestFit="1" customWidth="1"/>
    <col min="3" max="3" width="82.28515625" style="113" customWidth="1"/>
    <col min="4" max="5" width="9.140625" style="145"/>
    <col min="6" max="6" width="10.42578125" style="145" customWidth="1"/>
    <col min="7" max="7" width="12.28515625" style="145" customWidth="1"/>
  </cols>
  <sheetData>
    <row r="2" spans="1:7" ht="30.75" customHeight="1">
      <c r="A2" s="138"/>
      <c r="B2" s="222" t="s">
        <v>929</v>
      </c>
      <c r="C2" s="112" t="s">
        <v>441</v>
      </c>
      <c r="D2" s="611" t="s">
        <v>468</v>
      </c>
      <c r="E2" s="598"/>
      <c r="F2" s="598"/>
      <c r="G2" s="599"/>
    </row>
    <row r="3" spans="1:7">
      <c r="A3" s="113"/>
      <c r="B3" s="128" t="s">
        <v>461</v>
      </c>
      <c r="C3" s="322" t="s">
        <v>462</v>
      </c>
      <c r="D3" s="115" t="s">
        <v>463</v>
      </c>
      <c r="E3" s="115" t="s">
        <v>464</v>
      </c>
      <c r="F3" s="116" t="s">
        <v>465</v>
      </c>
      <c r="G3" s="115" t="s">
        <v>466</v>
      </c>
    </row>
    <row r="4" spans="1:7" ht="29.25" customHeight="1">
      <c r="A4" s="138"/>
      <c r="B4" s="114" t="s">
        <v>502</v>
      </c>
      <c r="C4" s="475" t="s">
        <v>503</v>
      </c>
      <c r="D4" s="139" t="s">
        <v>504</v>
      </c>
      <c r="E4" s="139">
        <v>0.05</v>
      </c>
      <c r="F4" s="139">
        <v>400</v>
      </c>
      <c r="G4" s="139">
        <f>E4*F4</f>
        <v>20</v>
      </c>
    </row>
    <row r="5" spans="1:7" ht="33.75" customHeight="1">
      <c r="A5" s="138"/>
      <c r="B5" s="114" t="s">
        <v>505</v>
      </c>
      <c r="C5" s="475" t="s">
        <v>506</v>
      </c>
      <c r="D5" s="139" t="s">
        <v>482</v>
      </c>
      <c r="E5" s="139">
        <v>3.1600000000000003E-2</v>
      </c>
      <c r="F5" s="139">
        <v>290.58999999999997</v>
      </c>
      <c r="G5" s="139">
        <f>E5*F5</f>
        <v>9.1826439999999998</v>
      </c>
    </row>
    <row r="6" spans="1:7" ht="32.25" customHeight="1">
      <c r="A6" s="138"/>
      <c r="B6" s="115" t="s">
        <v>474</v>
      </c>
      <c r="C6" s="122" t="s">
        <v>475</v>
      </c>
      <c r="D6" s="139" t="s">
        <v>476</v>
      </c>
      <c r="E6" s="139">
        <v>1.5</v>
      </c>
      <c r="F6" s="115">
        <v>14.85</v>
      </c>
      <c r="G6" s="139">
        <f>E6*F6</f>
        <v>22.274999999999999</v>
      </c>
    </row>
    <row r="7" spans="1:7" ht="32.25" customHeight="1">
      <c r="A7" s="138"/>
      <c r="B7" s="115" t="s">
        <v>477</v>
      </c>
      <c r="C7" s="122" t="s">
        <v>478</v>
      </c>
      <c r="D7" s="139" t="s">
        <v>476</v>
      </c>
      <c r="E7" s="139">
        <v>1.5</v>
      </c>
      <c r="F7" s="115">
        <v>11.74</v>
      </c>
      <c r="G7" s="139">
        <f>E7*F7</f>
        <v>17.61</v>
      </c>
    </row>
    <row r="8" spans="1:7">
      <c r="A8" s="138"/>
      <c r="B8" s="146"/>
      <c r="C8" s="476"/>
      <c r="D8" s="139"/>
      <c r="E8" s="139"/>
      <c r="F8" s="139"/>
      <c r="G8" s="139">
        <f>ROUND(SUM(G4:G7),2)</f>
        <v>69.069999999999993</v>
      </c>
    </row>
    <row r="9" spans="1:7">
      <c r="A9" s="138"/>
      <c r="C9" s="477"/>
      <c r="D9" s="293"/>
      <c r="G9" s="270"/>
    </row>
    <row r="11" spans="1:7" ht="25.5" customHeight="1">
      <c r="A11" s="111" t="s">
        <v>458</v>
      </c>
      <c r="B11" s="222" t="s">
        <v>930</v>
      </c>
      <c r="C11" s="112" t="s">
        <v>459</v>
      </c>
      <c r="D11" s="612" t="s">
        <v>460</v>
      </c>
      <c r="E11" s="613"/>
      <c r="F11" s="613"/>
      <c r="G11" s="613"/>
    </row>
    <row r="12" spans="1:7">
      <c r="A12" s="113"/>
      <c r="B12" s="114" t="s">
        <v>461</v>
      </c>
      <c r="C12" s="322" t="s">
        <v>462</v>
      </c>
      <c r="D12" s="115" t="s">
        <v>463</v>
      </c>
      <c r="E12" s="115" t="s">
        <v>464</v>
      </c>
      <c r="F12" s="116" t="s">
        <v>465</v>
      </c>
      <c r="G12" s="115" t="s">
        <v>466</v>
      </c>
    </row>
    <row r="13" spans="1:7" ht="23.25" customHeight="1">
      <c r="A13" s="117"/>
      <c r="B13" s="118" t="s">
        <v>163</v>
      </c>
      <c r="C13" s="119" t="s">
        <v>467</v>
      </c>
      <c r="D13" s="118" t="s">
        <v>468</v>
      </c>
      <c r="E13" s="120">
        <v>1.1000000000000001</v>
      </c>
      <c r="F13" s="121">
        <f>(18+17+11)/3</f>
        <v>15.333333333333334</v>
      </c>
      <c r="G13" s="121">
        <f>E13*F13</f>
        <v>16.866666666666667</v>
      </c>
    </row>
    <row r="14" spans="1:7" ht="18.75" customHeight="1">
      <c r="A14" s="113"/>
      <c r="B14" s="114" t="s">
        <v>469</v>
      </c>
      <c r="C14" s="122" t="s">
        <v>470</v>
      </c>
      <c r="D14" s="123" t="s">
        <v>471</v>
      </c>
      <c r="E14" s="124">
        <v>4</v>
      </c>
      <c r="F14" s="123">
        <v>2.36</v>
      </c>
      <c r="G14" s="125">
        <f>E14*F14</f>
        <v>9.44</v>
      </c>
    </row>
    <row r="15" spans="1:7" ht="20.25" customHeight="1">
      <c r="A15" s="113"/>
      <c r="B15" s="123" t="s">
        <v>472</v>
      </c>
      <c r="C15" s="122" t="s">
        <v>473</v>
      </c>
      <c r="D15" s="123" t="s">
        <v>471</v>
      </c>
      <c r="E15" s="114">
        <v>0.38</v>
      </c>
      <c r="F15" s="125">
        <v>2.9</v>
      </c>
      <c r="G15" s="125">
        <f>E15*F15</f>
        <v>1.1019999999999999</v>
      </c>
    </row>
    <row r="16" spans="1:7" ht="21.75" customHeight="1">
      <c r="A16" s="113"/>
      <c r="B16" s="123" t="s">
        <v>474</v>
      </c>
      <c r="C16" s="122" t="s">
        <v>475</v>
      </c>
      <c r="D16" s="123" t="s">
        <v>476</v>
      </c>
      <c r="E16" s="114">
        <v>0.4</v>
      </c>
      <c r="F16" s="115">
        <v>14.85</v>
      </c>
      <c r="G16" s="125">
        <f>E16*F16</f>
        <v>5.94</v>
      </c>
    </row>
    <row r="17" spans="1:7" ht="16.5" customHeight="1">
      <c r="A17" s="113"/>
      <c r="B17" s="123" t="s">
        <v>477</v>
      </c>
      <c r="C17" s="122" t="s">
        <v>478</v>
      </c>
      <c r="D17" s="123" t="s">
        <v>476</v>
      </c>
      <c r="E17" s="114">
        <v>0.34</v>
      </c>
      <c r="F17" s="115">
        <v>11.74</v>
      </c>
      <c r="G17" s="125">
        <f>E17*F17</f>
        <v>3.9916000000000005</v>
      </c>
    </row>
    <row r="18" spans="1:7" ht="18" customHeight="1">
      <c r="A18" s="113"/>
      <c r="B18" s="603"/>
      <c r="C18" s="604"/>
      <c r="D18" s="604"/>
      <c r="E18" s="604"/>
      <c r="F18" s="605"/>
      <c r="G18" s="126">
        <f>SUM(G13:G17)</f>
        <v>37.340266666666665</v>
      </c>
    </row>
    <row r="21" spans="1:7" ht="21" customHeight="1">
      <c r="B21" s="222" t="s">
        <v>931</v>
      </c>
      <c r="C21" s="127" t="s">
        <v>479</v>
      </c>
      <c r="D21" s="617" t="s">
        <v>468</v>
      </c>
      <c r="E21" s="617"/>
      <c r="F21" s="617"/>
      <c r="G21" s="617"/>
    </row>
    <row r="22" spans="1:7" ht="16.5" customHeight="1">
      <c r="B22" s="128" t="s">
        <v>461</v>
      </c>
      <c r="C22" s="322" t="s">
        <v>462</v>
      </c>
      <c r="D22" s="115" t="s">
        <v>463</v>
      </c>
      <c r="E22" s="115" t="s">
        <v>464</v>
      </c>
      <c r="F22" s="116" t="s">
        <v>465</v>
      </c>
      <c r="G22" s="115" t="s">
        <v>466</v>
      </c>
    </row>
    <row r="23" spans="1:7" ht="25.5">
      <c r="B23" s="123" t="s">
        <v>480</v>
      </c>
      <c r="C23" s="478" t="s">
        <v>481</v>
      </c>
      <c r="D23" s="116" t="s">
        <v>482</v>
      </c>
      <c r="E23" s="116">
        <v>7.0000000000000007E-2</v>
      </c>
      <c r="F23" s="115">
        <v>120.82</v>
      </c>
      <c r="G23" s="126">
        <f>E23*F23</f>
        <v>8.4573999999999998</v>
      </c>
    </row>
    <row r="24" spans="1:7" ht="25.5">
      <c r="B24" s="123" t="s">
        <v>483</v>
      </c>
      <c r="C24" s="478" t="s">
        <v>484</v>
      </c>
      <c r="D24" s="116" t="s">
        <v>482</v>
      </c>
      <c r="E24" s="116">
        <v>7.0000000000000007E-2</v>
      </c>
      <c r="F24" s="115">
        <v>224.92</v>
      </c>
      <c r="G24" s="126">
        <f>E24*F24</f>
        <v>15.744400000000001</v>
      </c>
    </row>
    <row r="25" spans="1:7">
      <c r="B25" s="618"/>
      <c r="C25" s="619"/>
      <c r="D25" s="619"/>
      <c r="E25" s="619"/>
      <c r="F25" s="620"/>
      <c r="G25" s="126">
        <f>SUM(G23:G24)</f>
        <v>24.201799999999999</v>
      </c>
    </row>
    <row r="26" spans="1:7">
      <c r="B26" s="129"/>
      <c r="C26" s="479"/>
      <c r="D26" s="129"/>
      <c r="E26" s="129"/>
      <c r="F26" s="129"/>
      <c r="G26" s="130"/>
    </row>
    <row r="28" spans="1:7" ht="18" customHeight="1">
      <c r="B28" s="222" t="s">
        <v>501</v>
      </c>
      <c r="C28" s="112" t="s">
        <v>341</v>
      </c>
      <c r="D28" s="612" t="s">
        <v>460</v>
      </c>
      <c r="E28" s="613"/>
      <c r="F28" s="613"/>
      <c r="G28" s="613"/>
    </row>
    <row r="29" spans="1:7">
      <c r="B29" s="114" t="s">
        <v>461</v>
      </c>
      <c r="C29" s="322" t="s">
        <v>462</v>
      </c>
      <c r="D29" s="115" t="s">
        <v>463</v>
      </c>
      <c r="E29" s="115" t="s">
        <v>464</v>
      </c>
      <c r="F29" s="116" t="s">
        <v>465</v>
      </c>
      <c r="G29" s="115" t="s">
        <v>466</v>
      </c>
    </row>
    <row r="30" spans="1:7" ht="19.5" customHeight="1">
      <c r="B30" s="123" t="s">
        <v>485</v>
      </c>
      <c r="C30" s="122" t="s">
        <v>486</v>
      </c>
      <c r="D30" s="123" t="s">
        <v>471</v>
      </c>
      <c r="E30" s="114">
        <v>25.02</v>
      </c>
      <c r="F30" s="123">
        <v>0.46</v>
      </c>
      <c r="G30" s="125">
        <f>E30*F30</f>
        <v>11.5092</v>
      </c>
    </row>
    <row r="31" spans="1:7" ht="18" customHeight="1">
      <c r="B31" s="114" t="s">
        <v>487</v>
      </c>
      <c r="C31" s="122" t="s">
        <v>488</v>
      </c>
      <c r="D31" s="123" t="s">
        <v>482</v>
      </c>
      <c r="E31" s="114">
        <v>0.03</v>
      </c>
      <c r="F31" s="123">
        <v>50</v>
      </c>
      <c r="G31" s="125">
        <f t="shared" ref="G31:G36" si="0">E31*F31</f>
        <v>1.5</v>
      </c>
    </row>
    <row r="32" spans="1:7" ht="16.5" customHeight="1">
      <c r="B32" s="123" t="s">
        <v>489</v>
      </c>
      <c r="C32" s="122" t="s">
        <v>490</v>
      </c>
      <c r="D32" s="123" t="s">
        <v>482</v>
      </c>
      <c r="E32" s="114">
        <v>0.01</v>
      </c>
      <c r="F32" s="123">
        <v>63</v>
      </c>
      <c r="G32" s="125">
        <f t="shared" si="0"/>
        <v>0.63</v>
      </c>
    </row>
    <row r="33" spans="1:10" ht="18" customHeight="1">
      <c r="B33" s="118" t="s">
        <v>491</v>
      </c>
      <c r="C33" s="119" t="s">
        <v>492</v>
      </c>
      <c r="D33" s="118" t="s">
        <v>213</v>
      </c>
      <c r="E33" s="120">
        <v>20</v>
      </c>
      <c r="F33" s="120">
        <v>0.27</v>
      </c>
      <c r="G33" s="121">
        <f t="shared" si="0"/>
        <v>5.4</v>
      </c>
    </row>
    <row r="34" spans="1:10" ht="19.5" customHeight="1">
      <c r="B34" s="123" t="s">
        <v>493</v>
      </c>
      <c r="C34" s="122" t="s">
        <v>494</v>
      </c>
      <c r="D34" s="123" t="s">
        <v>482</v>
      </c>
      <c r="E34" s="292">
        <v>0.1</v>
      </c>
      <c r="F34" s="123">
        <v>60</v>
      </c>
      <c r="G34" s="125">
        <f t="shared" si="0"/>
        <v>6</v>
      </c>
    </row>
    <row r="35" spans="1:10" ht="17.25" customHeight="1">
      <c r="B35" s="123" t="s">
        <v>474</v>
      </c>
      <c r="C35" s="122" t="s">
        <v>475</v>
      </c>
      <c r="D35" s="123" t="s">
        <v>476</v>
      </c>
      <c r="E35" s="114">
        <v>1.7869999999999999</v>
      </c>
      <c r="F35" s="115">
        <v>14.85</v>
      </c>
      <c r="G35" s="125">
        <f t="shared" si="0"/>
        <v>26.536949999999997</v>
      </c>
    </row>
    <row r="36" spans="1:10" ht="21" customHeight="1">
      <c r="B36" s="133" t="s">
        <v>477</v>
      </c>
      <c r="C36" s="134" t="s">
        <v>478</v>
      </c>
      <c r="D36" s="133" t="s">
        <v>476</v>
      </c>
      <c r="E36" s="292">
        <v>1.7869999999999999</v>
      </c>
      <c r="F36" s="135">
        <v>11.74</v>
      </c>
      <c r="G36" s="136">
        <f t="shared" si="0"/>
        <v>20.979379999999999</v>
      </c>
    </row>
    <row r="37" spans="1:10">
      <c r="B37" s="603"/>
      <c r="C37" s="604"/>
      <c r="D37" s="604"/>
      <c r="E37" s="604"/>
      <c r="F37" s="605"/>
      <c r="G37" s="126">
        <f>SUM(G30:G36)</f>
        <v>72.555530000000005</v>
      </c>
    </row>
    <row r="38" spans="1:10">
      <c r="B38" s="129"/>
      <c r="C38" s="479"/>
      <c r="D38" s="129"/>
      <c r="E38" s="129"/>
      <c r="F38" s="129"/>
      <c r="G38" s="130"/>
    </row>
    <row r="39" spans="1:10">
      <c r="B39" s="129"/>
      <c r="C39" s="479"/>
      <c r="D39" s="129"/>
      <c r="E39" s="129"/>
      <c r="F39" s="129"/>
      <c r="G39" s="130"/>
    </row>
    <row r="40" spans="1:10" ht="24.75" customHeight="1">
      <c r="B40" s="309" t="s">
        <v>1192</v>
      </c>
      <c r="C40" s="365" t="s">
        <v>1443</v>
      </c>
      <c r="D40" s="626" t="s">
        <v>10</v>
      </c>
      <c r="E40" s="627"/>
      <c r="F40" s="627"/>
      <c r="G40" s="628"/>
    </row>
    <row r="41" spans="1:10" ht="21.75" customHeight="1">
      <c r="B41" s="114" t="s">
        <v>461</v>
      </c>
      <c r="C41" s="322" t="s">
        <v>462</v>
      </c>
      <c r="D41" s="115" t="s">
        <v>463</v>
      </c>
      <c r="E41" s="115" t="s">
        <v>464</v>
      </c>
      <c r="F41" s="116" t="s">
        <v>465</v>
      </c>
      <c r="G41" s="115" t="s">
        <v>466</v>
      </c>
    </row>
    <row r="42" spans="1:10" ht="24.75" customHeight="1">
      <c r="A42" s="110"/>
      <c r="B42" s="123" t="s">
        <v>1424</v>
      </c>
      <c r="C42" s="122" t="s">
        <v>494</v>
      </c>
      <c r="D42" s="123" t="s">
        <v>543</v>
      </c>
      <c r="E42" s="118">
        <v>0.66</v>
      </c>
      <c r="F42" s="123">
        <v>60</v>
      </c>
      <c r="G42" s="125">
        <f t="shared" ref="G42:G47" si="1">E42*F42</f>
        <v>39.6</v>
      </c>
      <c r="J42" s="61"/>
    </row>
    <row r="43" spans="1:10" ht="24.75" customHeight="1">
      <c r="A43" s="110"/>
      <c r="B43" s="123" t="s">
        <v>1425</v>
      </c>
      <c r="C43" s="122" t="s">
        <v>1426</v>
      </c>
      <c r="D43" s="123" t="s">
        <v>1427</v>
      </c>
      <c r="E43" s="118">
        <v>1.64</v>
      </c>
      <c r="F43" s="123">
        <v>22.16</v>
      </c>
      <c r="G43" s="125">
        <f t="shared" si="1"/>
        <v>36.342399999999998</v>
      </c>
    </row>
    <row r="44" spans="1:10" ht="24.75" customHeight="1">
      <c r="A44" s="110"/>
      <c r="B44" s="123" t="s">
        <v>1428</v>
      </c>
      <c r="C44" s="122" t="s">
        <v>729</v>
      </c>
      <c r="D44" s="123" t="s">
        <v>543</v>
      </c>
      <c r="E44" s="118">
        <f>0.031*6</f>
        <v>0.186</v>
      </c>
      <c r="F44" s="123">
        <v>50</v>
      </c>
      <c r="G44" s="125">
        <f t="shared" si="1"/>
        <v>9.3000000000000007</v>
      </c>
      <c r="H44" s="61"/>
    </row>
    <row r="45" spans="1:10" ht="16.5" customHeight="1">
      <c r="A45" s="110"/>
      <c r="B45" s="123" t="s">
        <v>1429</v>
      </c>
      <c r="C45" s="122" t="s">
        <v>1430</v>
      </c>
      <c r="D45" s="123" t="s">
        <v>527</v>
      </c>
      <c r="E45" s="118">
        <v>40</v>
      </c>
      <c r="F45" s="123">
        <v>0.4</v>
      </c>
      <c r="G45" s="125">
        <f t="shared" si="1"/>
        <v>16</v>
      </c>
    </row>
    <row r="46" spans="1:10" ht="24" customHeight="1">
      <c r="A46" s="110"/>
      <c r="B46" s="123" t="s">
        <v>474</v>
      </c>
      <c r="C46" s="122" t="s">
        <v>475</v>
      </c>
      <c r="D46" s="123" t="s">
        <v>535</v>
      </c>
      <c r="E46" s="118">
        <f>0.98*2</f>
        <v>1.96</v>
      </c>
      <c r="F46" s="123">
        <v>14.85</v>
      </c>
      <c r="G46" s="125">
        <f t="shared" si="1"/>
        <v>29.105999999999998</v>
      </c>
    </row>
    <row r="47" spans="1:10" ht="29.25" customHeight="1">
      <c r="A47" s="110"/>
      <c r="B47" s="123" t="s">
        <v>477</v>
      </c>
      <c r="C47" s="122" t="s">
        <v>478</v>
      </c>
      <c r="D47" s="123" t="s">
        <v>535</v>
      </c>
      <c r="E47" s="118">
        <f>2.07*2</f>
        <v>4.1399999999999997</v>
      </c>
      <c r="F47" s="123">
        <v>11.74</v>
      </c>
      <c r="G47" s="125">
        <f t="shared" si="1"/>
        <v>48.6036</v>
      </c>
    </row>
    <row r="48" spans="1:10" ht="18.75" customHeight="1">
      <c r="A48" s="110"/>
      <c r="B48" s="123"/>
      <c r="C48" s="122"/>
      <c r="D48" s="123"/>
      <c r="E48" s="123"/>
      <c r="F48" s="123"/>
      <c r="G48" s="125">
        <f>SUM(G42:G47)</f>
        <v>178.952</v>
      </c>
    </row>
    <row r="49" spans="1:10">
      <c r="A49" s="110"/>
      <c r="B49"/>
      <c r="D49"/>
      <c r="E49"/>
      <c r="F49"/>
      <c r="G49"/>
    </row>
    <row r="50" spans="1:10">
      <c r="B50" s="129"/>
      <c r="C50" s="479"/>
      <c r="D50" s="129"/>
      <c r="E50" s="129"/>
      <c r="F50" s="129"/>
      <c r="G50" s="130"/>
    </row>
    <row r="51" spans="1:10" ht="24.75" customHeight="1">
      <c r="B51" s="309" t="s">
        <v>1423</v>
      </c>
      <c r="C51" s="365" t="s">
        <v>1442</v>
      </c>
      <c r="D51" s="626" t="s">
        <v>10</v>
      </c>
      <c r="E51" s="627"/>
      <c r="F51" s="627"/>
      <c r="G51" s="628"/>
    </row>
    <row r="52" spans="1:10" ht="18.75" customHeight="1">
      <c r="B52" s="114" t="s">
        <v>461</v>
      </c>
      <c r="C52" s="322" t="s">
        <v>462</v>
      </c>
      <c r="D52" s="115" t="s">
        <v>463</v>
      </c>
      <c r="E52" s="115" t="s">
        <v>464</v>
      </c>
      <c r="F52" s="116" t="s">
        <v>465</v>
      </c>
      <c r="G52" s="115" t="s">
        <v>466</v>
      </c>
    </row>
    <row r="53" spans="1:10" ht="24.75" customHeight="1">
      <c r="A53" s="110"/>
      <c r="B53" s="123" t="s">
        <v>1433</v>
      </c>
      <c r="C53" s="122" t="s">
        <v>1434</v>
      </c>
      <c r="D53" s="123" t="s">
        <v>527</v>
      </c>
      <c r="E53" s="123">
        <v>4.8999999999999998E-3</v>
      </c>
      <c r="F53" s="123">
        <v>36.130000000000003</v>
      </c>
      <c r="G53" s="125">
        <f t="shared" ref="G53:G58" si="2">E53*F53</f>
        <v>0.177037</v>
      </c>
      <c r="J53" s="61"/>
    </row>
    <row r="54" spans="1:10" ht="24.75" customHeight="1">
      <c r="A54" s="110"/>
      <c r="B54" s="123" t="s">
        <v>163</v>
      </c>
      <c r="C54" s="122" t="s">
        <v>1442</v>
      </c>
      <c r="D54" s="123" t="s">
        <v>527</v>
      </c>
      <c r="E54" s="123">
        <v>1</v>
      </c>
      <c r="F54" s="123">
        <f>(11.72+9.96+9.96)/3</f>
        <v>10.546666666666667</v>
      </c>
      <c r="G54" s="125">
        <f t="shared" si="2"/>
        <v>10.546666666666667</v>
      </c>
    </row>
    <row r="55" spans="1:10" ht="24.75" customHeight="1">
      <c r="A55" s="110"/>
      <c r="B55" s="123" t="s">
        <v>1435</v>
      </c>
      <c r="C55" s="122" t="s">
        <v>1436</v>
      </c>
      <c r="D55" s="123" t="s">
        <v>527</v>
      </c>
      <c r="E55" s="123">
        <v>7.4999999999999997E-3</v>
      </c>
      <c r="F55" s="123">
        <v>31.37</v>
      </c>
      <c r="G55" s="125">
        <f t="shared" si="2"/>
        <v>0.23527500000000001</v>
      </c>
      <c r="H55" s="61"/>
    </row>
    <row r="56" spans="1:10" ht="16.5" customHeight="1">
      <c r="A56" s="110"/>
      <c r="B56" s="123" t="s">
        <v>1437</v>
      </c>
      <c r="C56" s="122" t="s">
        <v>1438</v>
      </c>
      <c r="D56" s="123" t="s">
        <v>527</v>
      </c>
      <c r="E56" s="123">
        <v>1.7000000000000001E-2</v>
      </c>
      <c r="F56" s="123">
        <v>1.37</v>
      </c>
      <c r="G56" s="125">
        <f t="shared" si="2"/>
        <v>2.3290000000000005E-2</v>
      </c>
    </row>
    <row r="57" spans="1:10" ht="24" customHeight="1">
      <c r="A57" s="110"/>
      <c r="B57" s="123" t="s">
        <v>496</v>
      </c>
      <c r="C57" s="122" t="s">
        <v>1439</v>
      </c>
      <c r="D57" s="123" t="s">
        <v>535</v>
      </c>
      <c r="E57" s="123">
        <v>7.0000000000000007E-2</v>
      </c>
      <c r="F57" s="123">
        <v>14.82</v>
      </c>
      <c r="G57" s="125">
        <f t="shared" si="2"/>
        <v>1.0374000000000001</v>
      </c>
    </row>
    <row r="58" spans="1:10" ht="29.25" customHeight="1">
      <c r="A58" s="110"/>
      <c r="B58" s="123" t="s">
        <v>1440</v>
      </c>
      <c r="C58" s="122" t="s">
        <v>1441</v>
      </c>
      <c r="D58" s="123" t="s">
        <v>535</v>
      </c>
      <c r="E58" s="123">
        <v>7.0000000000000007E-2</v>
      </c>
      <c r="F58" s="123">
        <v>11.33</v>
      </c>
      <c r="G58" s="125">
        <f t="shared" si="2"/>
        <v>0.79310000000000003</v>
      </c>
    </row>
    <row r="59" spans="1:10" ht="18.75" customHeight="1">
      <c r="A59" s="110"/>
      <c r="B59" s="123"/>
      <c r="C59" s="122"/>
      <c r="D59" s="123"/>
      <c r="E59" s="123"/>
      <c r="F59" s="123"/>
      <c r="G59" s="125">
        <f>SUM(G53:G58)</f>
        <v>12.812768666666667</v>
      </c>
    </row>
    <row r="60" spans="1:10">
      <c r="B60" s="129"/>
      <c r="C60" s="479"/>
      <c r="D60" s="129"/>
      <c r="E60" s="129"/>
      <c r="F60" s="129"/>
      <c r="G60" s="130"/>
    </row>
    <row r="62" spans="1:10" ht="25.5">
      <c r="B62" s="515" t="s">
        <v>1432</v>
      </c>
      <c r="C62" s="112" t="s">
        <v>856</v>
      </c>
      <c r="D62" s="587" t="s">
        <v>468</v>
      </c>
      <c r="E62" s="588"/>
      <c r="F62" s="588"/>
      <c r="G62" s="589"/>
    </row>
    <row r="63" spans="1:10">
      <c r="B63" s="114" t="s">
        <v>461</v>
      </c>
      <c r="C63" s="322" t="s">
        <v>462</v>
      </c>
      <c r="D63" s="114" t="s">
        <v>463</v>
      </c>
      <c r="E63" s="114" t="s">
        <v>464</v>
      </c>
      <c r="F63" s="114" t="s">
        <v>465</v>
      </c>
      <c r="G63" s="148" t="s">
        <v>466</v>
      </c>
    </row>
    <row r="64" spans="1:10">
      <c r="A64" s="110"/>
      <c r="B64" s="114" t="s">
        <v>726</v>
      </c>
      <c r="C64" s="322" t="s">
        <v>725</v>
      </c>
      <c r="D64" s="114" t="s">
        <v>11</v>
      </c>
      <c r="E64" s="114">
        <v>1.86</v>
      </c>
      <c r="F64" s="114">
        <v>6.5</v>
      </c>
      <c r="G64" s="114">
        <f>F64*E64</f>
        <v>12.09</v>
      </c>
    </row>
    <row r="65" spans="1:7" ht="38.25">
      <c r="A65" s="110"/>
      <c r="B65" s="123" t="s">
        <v>702</v>
      </c>
      <c r="C65" s="122" t="s">
        <v>701</v>
      </c>
      <c r="D65" s="114" t="s">
        <v>761</v>
      </c>
      <c r="E65" s="114">
        <v>0.01</v>
      </c>
      <c r="F65" s="114">
        <v>345.01</v>
      </c>
      <c r="G65" s="114">
        <f>F65*E65</f>
        <v>3.4500999999999999</v>
      </c>
    </row>
    <row r="66" spans="1:7">
      <c r="A66" s="110"/>
      <c r="B66" s="114" t="s">
        <v>1462</v>
      </c>
      <c r="C66" s="322" t="s">
        <v>1463</v>
      </c>
      <c r="D66" s="114" t="s">
        <v>535</v>
      </c>
      <c r="E66" s="114">
        <v>0.15</v>
      </c>
      <c r="F66" s="114">
        <v>14.75</v>
      </c>
      <c r="G66" s="114">
        <f t="shared" ref="G66:G78" si="3">F66*E66</f>
        <v>2.2124999999999999</v>
      </c>
    </row>
    <row r="67" spans="1:7">
      <c r="A67" s="110"/>
      <c r="B67" s="114" t="s">
        <v>771</v>
      </c>
      <c r="C67" s="322" t="s">
        <v>772</v>
      </c>
      <c r="D67" s="114" t="s">
        <v>535</v>
      </c>
      <c r="E67" s="114">
        <v>0.81</v>
      </c>
      <c r="F67" s="114">
        <v>14.75</v>
      </c>
      <c r="G67" s="114">
        <f t="shared" si="3"/>
        <v>11.947500000000002</v>
      </c>
    </row>
    <row r="68" spans="1:7">
      <c r="A68" s="110"/>
      <c r="B68" s="114" t="s">
        <v>614</v>
      </c>
      <c r="C68" s="322" t="s">
        <v>615</v>
      </c>
      <c r="D68" s="114" t="s">
        <v>92</v>
      </c>
      <c r="E68" s="114">
        <v>18</v>
      </c>
      <c r="F68" s="114">
        <v>0.46</v>
      </c>
      <c r="G68" s="114">
        <f t="shared" si="3"/>
        <v>8.2800000000000011</v>
      </c>
    </row>
    <row r="69" spans="1:7">
      <c r="A69" s="110"/>
      <c r="B69" s="114" t="s">
        <v>1453</v>
      </c>
      <c r="C69" s="322" t="s">
        <v>734</v>
      </c>
      <c r="D69" s="114" t="s">
        <v>11</v>
      </c>
      <c r="E69" s="114">
        <v>1.03</v>
      </c>
      <c r="F69" s="114">
        <v>3.07</v>
      </c>
      <c r="G69" s="114">
        <f t="shared" si="3"/>
        <v>3.1621000000000001</v>
      </c>
    </row>
    <row r="70" spans="1:7">
      <c r="A70" s="110"/>
      <c r="B70" s="114" t="s">
        <v>1454</v>
      </c>
      <c r="C70" s="322" t="s">
        <v>728</v>
      </c>
      <c r="D70" s="114" t="s">
        <v>543</v>
      </c>
      <c r="E70" s="114">
        <v>4.0800000000000003E-2</v>
      </c>
      <c r="F70" s="114">
        <v>50</v>
      </c>
      <c r="G70" s="114">
        <f t="shared" si="3"/>
        <v>2.04</v>
      </c>
    </row>
    <row r="71" spans="1:7">
      <c r="A71" s="110"/>
      <c r="B71" s="114" t="s">
        <v>1428</v>
      </c>
      <c r="C71" s="322" t="s">
        <v>729</v>
      </c>
      <c r="D71" s="114" t="s">
        <v>543</v>
      </c>
      <c r="E71" s="114">
        <v>0.13600000000000001</v>
      </c>
      <c r="F71" s="114">
        <v>50</v>
      </c>
      <c r="G71" s="114">
        <f t="shared" si="3"/>
        <v>6.8000000000000007</v>
      </c>
    </row>
    <row r="72" spans="1:7">
      <c r="A72" s="110"/>
      <c r="B72" s="114" t="s">
        <v>474</v>
      </c>
      <c r="C72" s="322" t="s">
        <v>475</v>
      </c>
      <c r="D72" s="114" t="s">
        <v>535</v>
      </c>
      <c r="E72" s="114">
        <v>0.47</v>
      </c>
      <c r="F72" s="114">
        <v>14.85</v>
      </c>
      <c r="G72" s="114">
        <f t="shared" si="3"/>
        <v>6.9794999999999998</v>
      </c>
    </row>
    <row r="73" spans="1:7">
      <c r="A73" s="110"/>
      <c r="B73" s="114" t="s">
        <v>1455</v>
      </c>
      <c r="C73" s="322" t="s">
        <v>730</v>
      </c>
      <c r="D73" s="114" t="s">
        <v>92</v>
      </c>
      <c r="E73" s="114">
        <v>0.03</v>
      </c>
      <c r="F73" s="114">
        <v>12.2</v>
      </c>
      <c r="G73" s="114">
        <f t="shared" si="3"/>
        <v>0.36599999999999999</v>
      </c>
    </row>
    <row r="74" spans="1:7">
      <c r="A74" s="110"/>
      <c r="B74" s="114" t="s">
        <v>477</v>
      </c>
      <c r="C74" s="322" t="s">
        <v>478</v>
      </c>
      <c r="D74" s="114" t="s">
        <v>535</v>
      </c>
      <c r="E74" s="114">
        <v>2.1</v>
      </c>
      <c r="F74" s="114">
        <v>11.74</v>
      </c>
      <c r="G74" s="114">
        <f t="shared" si="3"/>
        <v>24.654</v>
      </c>
    </row>
    <row r="75" spans="1:7">
      <c r="A75" s="110"/>
      <c r="B75" s="114" t="s">
        <v>1456</v>
      </c>
      <c r="C75" s="322" t="s">
        <v>1457</v>
      </c>
      <c r="D75" s="114" t="s">
        <v>11</v>
      </c>
      <c r="E75" s="114">
        <v>0.62</v>
      </c>
      <c r="F75" s="114">
        <v>15.23</v>
      </c>
      <c r="G75" s="114">
        <f t="shared" si="3"/>
        <v>9.4426000000000005</v>
      </c>
    </row>
    <row r="76" spans="1:7">
      <c r="A76" s="110"/>
      <c r="B76" s="114" t="s">
        <v>1458</v>
      </c>
      <c r="C76" s="322" t="s">
        <v>727</v>
      </c>
      <c r="D76" s="114" t="s">
        <v>543</v>
      </c>
      <c r="E76" s="114">
        <v>0.06</v>
      </c>
      <c r="F76" s="114">
        <v>66.95</v>
      </c>
      <c r="G76" s="114">
        <f t="shared" si="3"/>
        <v>4.0170000000000003</v>
      </c>
    </row>
    <row r="77" spans="1:7">
      <c r="A77" s="110"/>
      <c r="B77" s="114" t="s">
        <v>1459</v>
      </c>
      <c r="C77" s="322" t="s">
        <v>1460</v>
      </c>
      <c r="D77" s="114" t="s">
        <v>92</v>
      </c>
      <c r="E77" s="114">
        <v>1.89</v>
      </c>
      <c r="F77" s="114">
        <v>4.24</v>
      </c>
      <c r="G77" s="114">
        <f t="shared" si="3"/>
        <v>8.0136000000000003</v>
      </c>
    </row>
    <row r="78" spans="1:7">
      <c r="A78" s="110"/>
      <c r="B78" s="114" t="s">
        <v>1461</v>
      </c>
      <c r="C78" s="322" t="s">
        <v>857</v>
      </c>
      <c r="D78" s="114" t="s">
        <v>9</v>
      </c>
      <c r="E78" s="114">
        <v>1</v>
      </c>
      <c r="F78" s="114">
        <v>66.19</v>
      </c>
      <c r="G78" s="114">
        <f t="shared" si="3"/>
        <v>66.19</v>
      </c>
    </row>
    <row r="79" spans="1:7">
      <c r="A79" s="110"/>
      <c r="B79" s="114"/>
      <c r="C79" s="584"/>
      <c r="D79" s="585"/>
      <c r="E79" s="585"/>
      <c r="F79" s="586"/>
      <c r="G79" s="114">
        <f>SUM(G64:G78)</f>
        <v>169.64490000000001</v>
      </c>
    </row>
    <row r="80" spans="1:7" ht="18.75" customHeight="1">
      <c r="B80"/>
      <c r="D80"/>
      <c r="E80"/>
      <c r="F80"/>
      <c r="G80"/>
    </row>
    <row r="81" spans="1:7" ht="18.75" customHeight="1">
      <c r="B81"/>
      <c r="D81"/>
      <c r="E81"/>
      <c r="F81"/>
      <c r="G81"/>
    </row>
    <row r="82" spans="1:7" ht="24.75" customHeight="1">
      <c r="B82" s="516" t="s">
        <v>1503</v>
      </c>
      <c r="C82" s="365" t="s">
        <v>1193</v>
      </c>
      <c r="D82" s="626" t="s">
        <v>10</v>
      </c>
      <c r="E82" s="627"/>
      <c r="F82" s="627"/>
      <c r="G82" s="628"/>
    </row>
    <row r="83" spans="1:7" ht="24.75" customHeight="1">
      <c r="B83" s="123" t="s">
        <v>1194</v>
      </c>
      <c r="C83" s="122" t="s">
        <v>1195</v>
      </c>
      <c r="D83" s="123" t="s">
        <v>1196</v>
      </c>
      <c r="E83" s="123">
        <f>(20*8)*8</f>
        <v>1280</v>
      </c>
      <c r="F83" s="123">
        <v>19.850000000000001</v>
      </c>
      <c r="G83" s="123">
        <f>E83*F83</f>
        <v>25408</v>
      </c>
    </row>
    <row r="84" spans="1:7" ht="24.75" customHeight="1">
      <c r="B84" s="123" t="s">
        <v>1197</v>
      </c>
      <c r="C84" s="122" t="s">
        <v>1198</v>
      </c>
      <c r="D84" s="123" t="s">
        <v>1196</v>
      </c>
      <c r="E84" s="123">
        <f>(20*8)*8</f>
        <v>1280</v>
      </c>
      <c r="F84" s="123">
        <v>13.42</v>
      </c>
      <c r="G84" s="123">
        <f>E84*F84</f>
        <v>17177.599999999999</v>
      </c>
    </row>
    <row r="85" spans="1:7" ht="24.75" customHeight="1">
      <c r="B85" s="123" t="s">
        <v>1199</v>
      </c>
      <c r="C85" s="122" t="s">
        <v>1200</v>
      </c>
      <c r="D85" s="123" t="s">
        <v>1196</v>
      </c>
      <c r="E85" s="123">
        <f>(20*4.5)*8</f>
        <v>720</v>
      </c>
      <c r="F85" s="123">
        <v>79.78</v>
      </c>
      <c r="G85" s="123">
        <f>E85*F85</f>
        <v>57441.599999999999</v>
      </c>
    </row>
    <row r="86" spans="1:7">
      <c r="B86" s="123"/>
      <c r="C86" s="122"/>
      <c r="D86" s="123"/>
      <c r="E86" s="123"/>
      <c r="F86" s="123"/>
      <c r="G86" s="123">
        <f>SUM(G83:G85)</f>
        <v>100027.2</v>
      </c>
    </row>
    <row r="87" spans="1:7" ht="18" customHeight="1">
      <c r="B87" s="129"/>
      <c r="C87" s="479"/>
      <c r="D87" s="129"/>
      <c r="E87" s="129"/>
      <c r="F87" s="129"/>
      <c r="G87" s="130"/>
    </row>
    <row r="89" spans="1:7" ht="38.25">
      <c r="A89" s="61"/>
      <c r="B89" s="223" t="s">
        <v>896</v>
      </c>
      <c r="C89" s="112" t="s">
        <v>888</v>
      </c>
      <c r="D89" s="587" t="s">
        <v>10</v>
      </c>
      <c r="E89" s="588"/>
      <c r="F89" s="588"/>
      <c r="G89" s="589"/>
    </row>
    <row r="90" spans="1:7" ht="18" customHeight="1">
      <c r="B90" s="114" t="s">
        <v>461</v>
      </c>
      <c r="C90" s="322" t="s">
        <v>462</v>
      </c>
      <c r="D90" s="115" t="s">
        <v>463</v>
      </c>
      <c r="E90" s="115" t="s">
        <v>464</v>
      </c>
      <c r="F90" s="116" t="s">
        <v>465</v>
      </c>
      <c r="G90" s="115" t="s">
        <v>466</v>
      </c>
    </row>
    <row r="91" spans="1:7" ht="15.75" customHeight="1">
      <c r="B91" s="120">
        <v>10521</v>
      </c>
      <c r="C91" s="137" t="s">
        <v>897</v>
      </c>
      <c r="D91" s="120" t="s">
        <v>213</v>
      </c>
      <c r="E91" s="294">
        <v>1</v>
      </c>
      <c r="F91" s="120">
        <v>248.18</v>
      </c>
      <c r="G91" s="120">
        <f>E91*F91</f>
        <v>248.18</v>
      </c>
    </row>
    <row r="92" spans="1:7" ht="18.75" customHeight="1">
      <c r="B92" s="120" t="s">
        <v>904</v>
      </c>
      <c r="C92" s="137" t="s">
        <v>898</v>
      </c>
      <c r="D92" s="120" t="s">
        <v>213</v>
      </c>
      <c r="E92" s="294">
        <v>1</v>
      </c>
      <c r="F92" s="120">
        <v>72.28</v>
      </c>
      <c r="G92" s="120">
        <f t="shared" ref="G92:G98" si="4">E92*F92</f>
        <v>72.28</v>
      </c>
    </row>
    <row r="93" spans="1:7" ht="18.75" customHeight="1">
      <c r="B93" s="120" t="s">
        <v>905</v>
      </c>
      <c r="C93" s="137" t="s">
        <v>899</v>
      </c>
      <c r="D93" s="120" t="s">
        <v>213</v>
      </c>
      <c r="E93" s="294">
        <v>1</v>
      </c>
      <c r="F93" s="120">
        <v>59.14</v>
      </c>
      <c r="G93" s="120">
        <f t="shared" si="4"/>
        <v>59.14</v>
      </c>
    </row>
    <row r="94" spans="1:7" ht="17.25" customHeight="1">
      <c r="B94" s="120" t="s">
        <v>532</v>
      </c>
      <c r="C94" s="137" t="s">
        <v>900</v>
      </c>
      <c r="D94" s="120" t="s">
        <v>213</v>
      </c>
      <c r="E94" s="294">
        <v>1</v>
      </c>
      <c r="F94" s="120">
        <v>165</v>
      </c>
      <c r="G94" s="120">
        <f t="shared" si="4"/>
        <v>165</v>
      </c>
    </row>
    <row r="95" spans="1:7" ht="17.25" customHeight="1">
      <c r="B95" s="120" t="s">
        <v>906</v>
      </c>
      <c r="C95" s="137" t="s">
        <v>901</v>
      </c>
      <c r="D95" s="120" t="s">
        <v>213</v>
      </c>
      <c r="E95" s="294">
        <v>1</v>
      </c>
      <c r="F95" s="120">
        <v>117.85</v>
      </c>
      <c r="G95" s="120">
        <f t="shared" si="4"/>
        <v>117.85</v>
      </c>
    </row>
    <row r="96" spans="1:7" ht="18.75" customHeight="1">
      <c r="B96" s="120" t="s">
        <v>907</v>
      </c>
      <c r="C96" s="137" t="s">
        <v>902</v>
      </c>
      <c r="D96" s="120" t="s">
        <v>213</v>
      </c>
      <c r="E96" s="294">
        <v>2</v>
      </c>
      <c r="F96" s="120">
        <v>266</v>
      </c>
      <c r="G96" s="120">
        <f t="shared" si="4"/>
        <v>532</v>
      </c>
    </row>
    <row r="97" spans="2:8" ht="21" customHeight="1">
      <c r="B97" s="120" t="s">
        <v>496</v>
      </c>
      <c r="C97" s="137" t="s">
        <v>903</v>
      </c>
      <c r="D97" s="120" t="s">
        <v>476</v>
      </c>
      <c r="E97" s="294">
        <v>3.5</v>
      </c>
      <c r="F97" s="120">
        <v>16.670000000000002</v>
      </c>
      <c r="G97" s="120">
        <f t="shared" si="4"/>
        <v>58.345000000000006</v>
      </c>
    </row>
    <row r="98" spans="2:8" ht="18" customHeight="1">
      <c r="B98" s="120" t="s">
        <v>477</v>
      </c>
      <c r="C98" s="137" t="s">
        <v>720</v>
      </c>
      <c r="D98" s="120" t="s">
        <v>476</v>
      </c>
      <c r="E98" s="294">
        <v>3.5</v>
      </c>
      <c r="F98" s="120">
        <v>13.13</v>
      </c>
      <c r="G98" s="120">
        <f t="shared" si="4"/>
        <v>45.955000000000005</v>
      </c>
    </row>
    <row r="99" spans="2:8">
      <c r="B99" s="120"/>
      <c r="C99" s="614"/>
      <c r="D99" s="615"/>
      <c r="E99" s="615"/>
      <c r="F99" s="616"/>
      <c r="G99" s="120">
        <f>SUM(G91:G98)</f>
        <v>1298.75</v>
      </c>
    </row>
    <row r="100" spans="2:8">
      <c r="B100" s="629" t="s">
        <v>895</v>
      </c>
      <c r="C100" s="630"/>
      <c r="D100" s="630"/>
      <c r="E100" s="630"/>
      <c r="F100" s="630"/>
      <c r="G100" s="631"/>
    </row>
    <row r="103" spans="2:8">
      <c r="B103" s="447" t="s">
        <v>1330</v>
      </c>
      <c r="C103" s="480" t="s">
        <v>1331</v>
      </c>
      <c r="D103" s="447" t="s">
        <v>1332</v>
      </c>
      <c r="E103" s="621" t="s">
        <v>1333</v>
      </c>
      <c r="F103" s="621"/>
      <c r="G103" s="621"/>
      <c r="H103" s="621"/>
    </row>
    <row r="104" spans="2:8" ht="24">
      <c r="B104" s="448" t="s">
        <v>329</v>
      </c>
      <c r="C104" s="467" t="s">
        <v>147</v>
      </c>
      <c r="D104" s="449" t="s">
        <v>212</v>
      </c>
      <c r="E104" s="622" t="s">
        <v>1334</v>
      </c>
      <c r="F104" s="622"/>
      <c r="G104" s="622"/>
      <c r="H104" s="622"/>
    </row>
    <row r="105" spans="2:8" ht="24">
      <c r="B105" s="450" t="s">
        <v>1335</v>
      </c>
      <c r="C105" s="481" t="s">
        <v>1336</v>
      </c>
      <c r="D105" s="450" t="s">
        <v>1337</v>
      </c>
      <c r="E105" s="450" t="s">
        <v>1332</v>
      </c>
      <c r="F105" s="451" t="s">
        <v>1338</v>
      </c>
      <c r="G105" s="450" t="s">
        <v>1339</v>
      </c>
      <c r="H105" s="450" t="s">
        <v>1340</v>
      </c>
    </row>
    <row r="106" spans="2:8">
      <c r="B106" s="449" t="s">
        <v>1341</v>
      </c>
      <c r="C106" s="452" t="s">
        <v>1342</v>
      </c>
      <c r="D106" s="453">
        <v>0.33300000000000002</v>
      </c>
      <c r="E106" s="454" t="s">
        <v>213</v>
      </c>
      <c r="F106" s="455">
        <v>32.9</v>
      </c>
      <c r="G106" s="456">
        <f t="shared" ref="G106:G113" si="5">(D106*F106)</f>
        <v>10.9557</v>
      </c>
      <c r="H106" s="449" t="s">
        <v>1343</v>
      </c>
    </row>
    <row r="107" spans="2:8">
      <c r="B107" s="454" t="s">
        <v>1344</v>
      </c>
      <c r="C107" s="452" t="s">
        <v>1345</v>
      </c>
      <c r="D107" s="457">
        <v>0.4</v>
      </c>
      <c r="E107" s="454" t="s">
        <v>476</v>
      </c>
      <c r="F107" s="455">
        <v>15</v>
      </c>
      <c r="G107" s="456">
        <f t="shared" si="5"/>
        <v>6</v>
      </c>
      <c r="H107" s="454" t="s">
        <v>1346</v>
      </c>
    </row>
    <row r="108" spans="2:8">
      <c r="B108" s="454" t="s">
        <v>1347</v>
      </c>
      <c r="C108" s="452" t="s">
        <v>1348</v>
      </c>
      <c r="D108" s="457">
        <v>0.4</v>
      </c>
      <c r="E108" s="454" t="s">
        <v>476</v>
      </c>
      <c r="F108" s="455">
        <v>11.38</v>
      </c>
      <c r="G108" s="456">
        <f t="shared" si="5"/>
        <v>4.5520000000000005</v>
      </c>
      <c r="H108" s="454" t="s">
        <v>1346</v>
      </c>
    </row>
    <row r="109" spans="2:8">
      <c r="B109" s="458" t="s">
        <v>1349</v>
      </c>
      <c r="C109" s="452" t="s">
        <v>1350</v>
      </c>
      <c r="D109" s="457">
        <v>1</v>
      </c>
      <c r="E109" s="454" t="s">
        <v>212</v>
      </c>
      <c r="F109" s="459">
        <v>6.63</v>
      </c>
      <c r="G109" s="456">
        <f t="shared" si="5"/>
        <v>6.63</v>
      </c>
      <c r="H109" s="449" t="s">
        <v>1343</v>
      </c>
    </row>
    <row r="110" spans="2:8">
      <c r="B110" s="458" t="s">
        <v>1351</v>
      </c>
      <c r="C110" s="452" t="s">
        <v>1352</v>
      </c>
      <c r="D110" s="457">
        <v>2</v>
      </c>
      <c r="E110" s="454" t="s">
        <v>213</v>
      </c>
      <c r="F110" s="455">
        <v>1.39</v>
      </c>
      <c r="G110" s="456">
        <f t="shared" si="5"/>
        <v>2.78</v>
      </c>
      <c r="H110" s="454" t="s">
        <v>1353</v>
      </c>
    </row>
    <row r="111" spans="2:8">
      <c r="B111" s="458" t="s">
        <v>1354</v>
      </c>
      <c r="C111" s="452" t="s">
        <v>1355</v>
      </c>
      <c r="D111" s="453">
        <v>0.33</v>
      </c>
      <c r="E111" s="454" t="s">
        <v>213</v>
      </c>
      <c r="F111" s="455">
        <v>26.85</v>
      </c>
      <c r="G111" s="456">
        <f t="shared" si="5"/>
        <v>8.8605</v>
      </c>
      <c r="H111" s="454" t="s">
        <v>1353</v>
      </c>
    </row>
    <row r="112" spans="2:8" ht="24">
      <c r="B112" s="454" t="s">
        <v>1356</v>
      </c>
      <c r="C112" s="452" t="s">
        <v>1357</v>
      </c>
      <c r="D112" s="457">
        <v>0.33</v>
      </c>
      <c r="E112" s="454" t="s">
        <v>213</v>
      </c>
      <c r="F112" s="455">
        <v>2.2999999999999998</v>
      </c>
      <c r="G112" s="456">
        <f t="shared" si="5"/>
        <v>0.75900000000000001</v>
      </c>
      <c r="H112" s="454" t="s">
        <v>1343</v>
      </c>
    </row>
    <row r="113" spans="2:8">
      <c r="B113" s="458" t="s">
        <v>1358</v>
      </c>
      <c r="C113" s="452" t="s">
        <v>1359</v>
      </c>
      <c r="D113" s="457">
        <v>0.1</v>
      </c>
      <c r="E113" s="454" t="s">
        <v>213</v>
      </c>
      <c r="F113" s="455">
        <v>9.3000000000000007</v>
      </c>
      <c r="G113" s="456">
        <f t="shared" si="5"/>
        <v>0.93000000000000016</v>
      </c>
      <c r="H113" s="454" t="s">
        <v>1343</v>
      </c>
    </row>
    <row r="114" spans="2:8">
      <c r="B114" s="460"/>
      <c r="C114" s="482"/>
      <c r="D114" s="623" t="s">
        <v>1360</v>
      </c>
      <c r="E114" s="624"/>
      <c r="F114" s="624"/>
      <c r="G114" s="625">
        <f>SUM(G106:G113)</f>
        <v>41.467199999999998</v>
      </c>
      <c r="H114" s="624"/>
    </row>
    <row r="115" spans="2:8">
      <c r="B115" s="460"/>
      <c r="C115" s="482"/>
      <c r="D115" s="460"/>
      <c r="E115" s="460"/>
      <c r="F115" s="461"/>
      <c r="G115" s="460"/>
      <c r="H115" s="462"/>
    </row>
    <row r="116" spans="2:8">
      <c r="B116" s="447" t="s">
        <v>1330</v>
      </c>
      <c r="C116" s="480" t="s">
        <v>1331</v>
      </c>
      <c r="D116" s="447" t="s">
        <v>1332</v>
      </c>
      <c r="E116" s="621" t="s">
        <v>1333</v>
      </c>
      <c r="F116" s="621"/>
      <c r="G116" s="621"/>
      <c r="H116" s="621"/>
    </row>
    <row r="117" spans="2:8" ht="24">
      <c r="B117" s="448" t="s">
        <v>1294</v>
      </c>
      <c r="C117" s="467" t="s">
        <v>1295</v>
      </c>
      <c r="D117" s="454" t="s">
        <v>213</v>
      </c>
      <c r="E117" s="622" t="s">
        <v>1361</v>
      </c>
      <c r="F117" s="622"/>
      <c r="G117" s="622"/>
      <c r="H117" s="622"/>
    </row>
    <row r="118" spans="2:8" ht="36">
      <c r="B118" s="450" t="s">
        <v>1335</v>
      </c>
      <c r="C118" s="481" t="s">
        <v>1336</v>
      </c>
      <c r="D118" s="466" t="s">
        <v>1337</v>
      </c>
      <c r="E118" s="466" t="s">
        <v>1332</v>
      </c>
      <c r="F118" s="466" t="s">
        <v>1362</v>
      </c>
      <c r="G118" s="466" t="s">
        <v>1363</v>
      </c>
      <c r="H118" s="466" t="s">
        <v>1340</v>
      </c>
    </row>
    <row r="119" spans="2:8" ht="24">
      <c r="B119" s="449" t="s">
        <v>1364</v>
      </c>
      <c r="C119" s="467" t="s">
        <v>1365</v>
      </c>
      <c r="D119" s="454">
        <v>1</v>
      </c>
      <c r="E119" s="454" t="s">
        <v>213</v>
      </c>
      <c r="F119" s="456">
        <v>80.209999999999994</v>
      </c>
      <c r="G119" s="456">
        <f>(D119*F119)</f>
        <v>80.209999999999994</v>
      </c>
      <c r="H119" s="454" t="s">
        <v>1343</v>
      </c>
    </row>
    <row r="120" spans="2:8">
      <c r="B120" s="449" t="s">
        <v>1366</v>
      </c>
      <c r="C120" s="467" t="s">
        <v>1367</v>
      </c>
      <c r="D120" s="454">
        <v>2</v>
      </c>
      <c r="E120" s="454" t="s">
        <v>476</v>
      </c>
      <c r="F120" s="456">
        <v>43.09</v>
      </c>
      <c r="G120" s="456">
        <f>(D120*F120)</f>
        <v>86.18</v>
      </c>
      <c r="H120" s="454" t="s">
        <v>1353</v>
      </c>
    </row>
    <row r="121" spans="2:8">
      <c r="B121" s="454" t="s">
        <v>1344</v>
      </c>
      <c r="C121" s="452" t="s">
        <v>1345</v>
      </c>
      <c r="D121" s="454">
        <v>1</v>
      </c>
      <c r="E121" s="454" t="s">
        <v>476</v>
      </c>
      <c r="F121" s="456">
        <v>15</v>
      </c>
      <c r="G121" s="456">
        <f>(D121*F121)</f>
        <v>15</v>
      </c>
      <c r="H121" s="454" t="s">
        <v>1346</v>
      </c>
    </row>
    <row r="122" spans="2:8">
      <c r="B122" s="454" t="s">
        <v>1347</v>
      </c>
      <c r="C122" s="452" t="s">
        <v>1348</v>
      </c>
      <c r="D122" s="454">
        <v>1</v>
      </c>
      <c r="E122" s="454" t="s">
        <v>476</v>
      </c>
      <c r="F122" s="456">
        <v>11.38</v>
      </c>
      <c r="G122" s="456">
        <f>(D122*F122)</f>
        <v>11.38</v>
      </c>
      <c r="H122" s="454" t="s">
        <v>1346</v>
      </c>
    </row>
    <row r="123" spans="2:8">
      <c r="B123" s="460"/>
      <c r="C123" s="482"/>
      <c r="D123" s="623" t="s">
        <v>1360</v>
      </c>
      <c r="E123" s="624"/>
      <c r="F123" s="624"/>
      <c r="G123" s="625">
        <f>SUM(G119:G122)</f>
        <v>192.76999999999998</v>
      </c>
      <c r="H123" s="624"/>
    </row>
    <row r="124" spans="2:8">
      <c r="B124" s="463"/>
      <c r="C124" s="483"/>
      <c r="D124" s="463"/>
      <c r="E124" s="463"/>
      <c r="F124" s="464"/>
      <c r="G124" s="463"/>
      <c r="H124" s="465"/>
    </row>
    <row r="125" spans="2:8">
      <c r="B125" s="447" t="s">
        <v>1330</v>
      </c>
      <c r="C125" s="480" t="s">
        <v>1331</v>
      </c>
      <c r="D125" s="447" t="s">
        <v>1332</v>
      </c>
      <c r="E125" s="621" t="s">
        <v>1333</v>
      </c>
      <c r="F125" s="621"/>
      <c r="G125" s="621"/>
      <c r="H125" s="621"/>
    </row>
    <row r="126" spans="2:8" ht="24">
      <c r="B126" s="468" t="s">
        <v>271</v>
      </c>
      <c r="C126" s="467" t="s">
        <v>272</v>
      </c>
      <c r="D126" s="449" t="s">
        <v>205</v>
      </c>
      <c r="E126" s="622" t="s">
        <v>1368</v>
      </c>
      <c r="F126" s="622"/>
      <c r="G126" s="622"/>
      <c r="H126" s="622"/>
    </row>
    <row r="127" spans="2:8" ht="24">
      <c r="B127" s="450" t="s">
        <v>1335</v>
      </c>
      <c r="C127" s="481" t="s">
        <v>1336</v>
      </c>
      <c r="D127" s="450" t="s">
        <v>1337</v>
      </c>
      <c r="E127" s="450" t="s">
        <v>1332</v>
      </c>
      <c r="F127" s="469" t="s">
        <v>1338</v>
      </c>
      <c r="G127" s="450" t="s">
        <v>1339</v>
      </c>
      <c r="H127" s="450" t="s">
        <v>1340</v>
      </c>
    </row>
    <row r="128" spans="2:8">
      <c r="B128" s="454" t="s">
        <v>1369</v>
      </c>
      <c r="C128" s="452" t="s">
        <v>1370</v>
      </c>
      <c r="D128" s="454">
        <v>2.2000000000000002</v>
      </c>
      <c r="E128" s="454" t="s">
        <v>212</v>
      </c>
      <c r="F128" s="470">
        <v>3.62</v>
      </c>
      <c r="G128" s="456">
        <f t="shared" ref="G128:G135" si="6">(D128*F128)</f>
        <v>7.9640000000000013</v>
      </c>
      <c r="H128" s="454" t="s">
        <v>1346</v>
      </c>
    </row>
    <row r="129" spans="2:8">
      <c r="B129" s="454" t="s">
        <v>1371</v>
      </c>
      <c r="C129" s="452" t="s">
        <v>1372</v>
      </c>
      <c r="D129" s="454">
        <v>1</v>
      </c>
      <c r="E129" s="454" t="s">
        <v>213</v>
      </c>
      <c r="F129" s="470">
        <v>2.39</v>
      </c>
      <c r="G129" s="456">
        <f t="shared" si="6"/>
        <v>2.39</v>
      </c>
      <c r="H129" s="454" t="s">
        <v>1346</v>
      </c>
    </row>
    <row r="130" spans="2:8" ht="24">
      <c r="B130" s="454" t="s">
        <v>1373</v>
      </c>
      <c r="C130" s="452" t="s">
        <v>1374</v>
      </c>
      <c r="D130" s="454">
        <v>2.2000000000000002</v>
      </c>
      <c r="E130" s="454" t="s">
        <v>212</v>
      </c>
      <c r="F130" s="470">
        <v>7.52</v>
      </c>
      <c r="G130" s="456">
        <f t="shared" si="6"/>
        <v>16.544</v>
      </c>
      <c r="H130" s="454" t="s">
        <v>1346</v>
      </c>
    </row>
    <row r="131" spans="2:8" ht="24">
      <c r="B131" s="454">
        <v>91871</v>
      </c>
      <c r="C131" s="452" t="s">
        <v>1375</v>
      </c>
      <c r="D131" s="454">
        <v>4.2</v>
      </c>
      <c r="E131" s="454" t="s">
        <v>212</v>
      </c>
      <c r="F131" s="470">
        <v>6.66</v>
      </c>
      <c r="G131" s="456">
        <f t="shared" si="6"/>
        <v>27.972000000000001</v>
      </c>
      <c r="H131" s="454" t="s">
        <v>1346</v>
      </c>
    </row>
    <row r="132" spans="2:8" ht="24">
      <c r="B132" s="454">
        <v>939</v>
      </c>
      <c r="C132" s="452" t="s">
        <v>1376</v>
      </c>
      <c r="D132" s="454">
        <v>12.6</v>
      </c>
      <c r="E132" s="454" t="s">
        <v>212</v>
      </c>
      <c r="F132" s="470">
        <v>2.35</v>
      </c>
      <c r="G132" s="456">
        <f t="shared" si="6"/>
        <v>29.61</v>
      </c>
      <c r="H132" s="454" t="s">
        <v>1346</v>
      </c>
    </row>
    <row r="133" spans="2:8" ht="24">
      <c r="B133" s="454" t="s">
        <v>1377</v>
      </c>
      <c r="C133" s="452" t="s">
        <v>1378</v>
      </c>
      <c r="D133" s="454">
        <v>2</v>
      </c>
      <c r="E133" s="454" t="s">
        <v>213</v>
      </c>
      <c r="F133" s="470">
        <v>8.9499999999999993</v>
      </c>
      <c r="G133" s="456">
        <f t="shared" si="6"/>
        <v>17.899999999999999</v>
      </c>
      <c r="H133" s="454" t="s">
        <v>1346</v>
      </c>
    </row>
    <row r="134" spans="2:8" ht="24">
      <c r="B134" s="454">
        <v>91955</v>
      </c>
      <c r="C134" s="452" t="s">
        <v>1379</v>
      </c>
      <c r="D134" s="454">
        <v>2</v>
      </c>
      <c r="E134" s="454" t="s">
        <v>213</v>
      </c>
      <c r="F134" s="470">
        <v>17.97</v>
      </c>
      <c r="G134" s="456">
        <f t="shared" si="6"/>
        <v>35.94</v>
      </c>
      <c r="H134" s="454" t="s">
        <v>1346</v>
      </c>
    </row>
    <row r="135" spans="2:8" ht="24">
      <c r="B135" s="454" t="s">
        <v>1380</v>
      </c>
      <c r="C135" s="452" t="s">
        <v>1381</v>
      </c>
      <c r="D135" s="454">
        <v>2</v>
      </c>
      <c r="E135" s="454" t="s">
        <v>213</v>
      </c>
      <c r="F135" s="470">
        <v>6.67</v>
      </c>
      <c r="G135" s="456">
        <f t="shared" si="6"/>
        <v>13.34</v>
      </c>
      <c r="H135" s="454" t="s">
        <v>1346</v>
      </c>
    </row>
    <row r="136" spans="2:8">
      <c r="B136" s="460"/>
      <c r="C136" s="482"/>
      <c r="D136" s="623" t="s">
        <v>1360</v>
      </c>
      <c r="E136" s="624"/>
      <c r="F136" s="624"/>
      <c r="G136" s="625">
        <f>SUM(G128:G135)</f>
        <v>151.66</v>
      </c>
      <c r="H136" s="624"/>
    </row>
    <row r="137" spans="2:8">
      <c r="B137" s="463"/>
      <c r="C137" s="483"/>
      <c r="D137" s="463"/>
      <c r="E137" s="463"/>
      <c r="F137" s="464"/>
      <c r="G137" s="463"/>
      <c r="H137" s="465"/>
    </row>
    <row r="138" spans="2:8">
      <c r="B138" s="447" t="s">
        <v>1330</v>
      </c>
      <c r="C138" s="480" t="s">
        <v>1331</v>
      </c>
      <c r="D138" s="447" t="s">
        <v>1332</v>
      </c>
      <c r="E138" s="621" t="s">
        <v>1333</v>
      </c>
      <c r="F138" s="621"/>
      <c r="G138" s="621"/>
      <c r="H138" s="621"/>
    </row>
    <row r="139" spans="2:8" ht="24">
      <c r="B139" s="448" t="s">
        <v>273</v>
      </c>
      <c r="C139" s="467" t="s">
        <v>274</v>
      </c>
      <c r="D139" s="449" t="s">
        <v>205</v>
      </c>
      <c r="E139" s="622" t="s">
        <v>1382</v>
      </c>
      <c r="F139" s="622"/>
      <c r="G139" s="622"/>
      <c r="H139" s="622"/>
    </row>
    <row r="140" spans="2:8" ht="24">
      <c r="B140" s="450" t="s">
        <v>1335</v>
      </c>
      <c r="C140" s="481" t="s">
        <v>1336</v>
      </c>
      <c r="D140" s="450" t="s">
        <v>1337</v>
      </c>
      <c r="E140" s="450" t="s">
        <v>1332</v>
      </c>
      <c r="F140" s="469" t="s">
        <v>1338</v>
      </c>
      <c r="G140" s="450" t="s">
        <v>1339</v>
      </c>
      <c r="H140" s="450" t="s">
        <v>1340</v>
      </c>
    </row>
    <row r="141" spans="2:8" ht="24">
      <c r="B141" s="458" t="s">
        <v>262</v>
      </c>
      <c r="C141" s="452" t="s">
        <v>1376</v>
      </c>
      <c r="D141" s="454">
        <v>12</v>
      </c>
      <c r="E141" s="454" t="s">
        <v>213</v>
      </c>
      <c r="F141" s="470">
        <v>2.35</v>
      </c>
      <c r="G141" s="456">
        <f>(D141*F141)</f>
        <v>28.200000000000003</v>
      </c>
      <c r="H141" s="454" t="s">
        <v>1346</v>
      </c>
    </row>
    <row r="142" spans="2:8" ht="24">
      <c r="B142" s="458">
        <v>91936</v>
      </c>
      <c r="C142" s="452" t="s">
        <v>1383</v>
      </c>
      <c r="D142" s="454">
        <v>1</v>
      </c>
      <c r="E142" s="454" t="s">
        <v>213</v>
      </c>
      <c r="F142" s="470">
        <v>9.23</v>
      </c>
      <c r="G142" s="456">
        <f>(D142*F142)</f>
        <v>9.23</v>
      </c>
      <c r="H142" s="454" t="s">
        <v>1353</v>
      </c>
    </row>
    <row r="143" spans="2:8" ht="24">
      <c r="B143" s="454">
        <v>91871</v>
      </c>
      <c r="C143" s="452" t="s">
        <v>1375</v>
      </c>
      <c r="D143" s="454">
        <v>6</v>
      </c>
      <c r="E143" s="454" t="s">
        <v>213</v>
      </c>
      <c r="F143" s="470">
        <v>6.66</v>
      </c>
      <c r="G143" s="456">
        <f>(D143*F143)</f>
        <v>39.96</v>
      </c>
      <c r="H143" s="454" t="s">
        <v>1346</v>
      </c>
    </row>
    <row r="144" spans="2:8">
      <c r="B144" s="458">
        <v>20111</v>
      </c>
      <c r="C144" s="452" t="s">
        <v>1384</v>
      </c>
      <c r="D144" s="454">
        <v>0.15</v>
      </c>
      <c r="E144" s="454" t="s">
        <v>213</v>
      </c>
      <c r="F144" s="470">
        <v>6</v>
      </c>
      <c r="G144" s="456">
        <f>(D144*F144)</f>
        <v>0.89999999999999991</v>
      </c>
      <c r="H144" s="454" t="s">
        <v>1353</v>
      </c>
    </row>
    <row r="145" spans="2:8">
      <c r="B145" s="460"/>
      <c r="C145" s="482"/>
      <c r="D145" s="623" t="s">
        <v>1360</v>
      </c>
      <c r="E145" s="624"/>
      <c r="F145" s="624"/>
      <c r="G145" s="625">
        <f>SUM(G141:G144)</f>
        <v>78.29000000000002</v>
      </c>
      <c r="H145" s="624"/>
    </row>
    <row r="146" spans="2:8">
      <c r="B146" s="463"/>
      <c r="C146" s="483"/>
      <c r="D146" s="463"/>
      <c r="E146" s="463"/>
      <c r="F146" s="464"/>
      <c r="G146" s="463"/>
      <c r="H146" s="465"/>
    </row>
    <row r="147" spans="2:8">
      <c r="B147" s="447" t="s">
        <v>1330</v>
      </c>
      <c r="C147" s="480" t="s">
        <v>1331</v>
      </c>
      <c r="D147" s="447" t="s">
        <v>1332</v>
      </c>
      <c r="E147" s="621" t="s">
        <v>1333</v>
      </c>
      <c r="F147" s="621"/>
      <c r="G147" s="621"/>
      <c r="H147" s="621"/>
    </row>
    <row r="148" spans="2:8" ht="24">
      <c r="B148" s="448" t="s">
        <v>275</v>
      </c>
      <c r="C148" s="467" t="s">
        <v>276</v>
      </c>
      <c r="D148" s="449" t="s">
        <v>205</v>
      </c>
      <c r="E148" s="622" t="s">
        <v>1368</v>
      </c>
      <c r="F148" s="622"/>
      <c r="G148" s="622"/>
      <c r="H148" s="622"/>
    </row>
    <row r="149" spans="2:8" ht="24">
      <c r="B149" s="450" t="s">
        <v>1335</v>
      </c>
      <c r="C149" s="481" t="s">
        <v>1336</v>
      </c>
      <c r="D149" s="450" t="s">
        <v>1337</v>
      </c>
      <c r="E149" s="450" t="s">
        <v>1332</v>
      </c>
      <c r="F149" s="469" t="s">
        <v>1338</v>
      </c>
      <c r="G149" s="450" t="s">
        <v>1339</v>
      </c>
      <c r="H149" s="450" t="s">
        <v>1340</v>
      </c>
    </row>
    <row r="150" spans="2:8">
      <c r="B150" s="454" t="s">
        <v>1369</v>
      </c>
      <c r="C150" s="452" t="s">
        <v>1370</v>
      </c>
      <c r="D150" s="454">
        <f>2.2/2</f>
        <v>1.1000000000000001</v>
      </c>
      <c r="E150" s="454" t="s">
        <v>212</v>
      </c>
      <c r="F150" s="470">
        <v>3.62</v>
      </c>
      <c r="G150" s="456">
        <f t="shared" ref="G150:G157" si="7">(D150*F150)</f>
        <v>3.9820000000000007</v>
      </c>
      <c r="H150" s="454" t="s">
        <v>1346</v>
      </c>
    </row>
    <row r="151" spans="2:8">
      <c r="B151" s="454" t="s">
        <v>1371</v>
      </c>
      <c r="C151" s="452" t="s">
        <v>1372</v>
      </c>
      <c r="D151" s="454">
        <f>1/2</f>
        <v>0.5</v>
      </c>
      <c r="E151" s="454" t="s">
        <v>213</v>
      </c>
      <c r="F151" s="470">
        <v>2.39</v>
      </c>
      <c r="G151" s="456">
        <f t="shared" si="7"/>
        <v>1.1950000000000001</v>
      </c>
      <c r="H151" s="454" t="s">
        <v>1346</v>
      </c>
    </row>
    <row r="152" spans="2:8" ht="24">
      <c r="B152" s="454" t="s">
        <v>1373</v>
      </c>
      <c r="C152" s="452" t="s">
        <v>1374</v>
      </c>
      <c r="D152" s="454">
        <v>2.2000000000000002</v>
      </c>
      <c r="E152" s="454" t="s">
        <v>212</v>
      </c>
      <c r="F152" s="470">
        <v>7.52</v>
      </c>
      <c r="G152" s="456">
        <f t="shared" si="7"/>
        <v>16.544</v>
      </c>
      <c r="H152" s="454" t="s">
        <v>1346</v>
      </c>
    </row>
    <row r="153" spans="2:8" ht="24">
      <c r="B153" s="454">
        <v>91871</v>
      </c>
      <c r="C153" s="452" t="s">
        <v>1375</v>
      </c>
      <c r="D153" s="454">
        <f>4.2/2</f>
        <v>2.1</v>
      </c>
      <c r="E153" s="454" t="s">
        <v>212</v>
      </c>
      <c r="F153" s="470">
        <v>6.66</v>
      </c>
      <c r="G153" s="456">
        <f t="shared" si="7"/>
        <v>13.986000000000001</v>
      </c>
      <c r="H153" s="454" t="s">
        <v>1346</v>
      </c>
    </row>
    <row r="154" spans="2:8" ht="24">
      <c r="B154" s="458" t="s">
        <v>262</v>
      </c>
      <c r="C154" s="452" t="s">
        <v>1376</v>
      </c>
      <c r="D154" s="454">
        <f>12.6/2</f>
        <v>6.3</v>
      </c>
      <c r="E154" s="454" t="s">
        <v>212</v>
      </c>
      <c r="F154" s="470">
        <v>2.35</v>
      </c>
      <c r="G154" s="456">
        <f t="shared" si="7"/>
        <v>14.805</v>
      </c>
      <c r="H154" s="454" t="s">
        <v>1346</v>
      </c>
    </row>
    <row r="155" spans="2:8" ht="24">
      <c r="B155" s="454" t="s">
        <v>1377</v>
      </c>
      <c r="C155" s="452" t="s">
        <v>1378</v>
      </c>
      <c r="D155" s="454">
        <v>1</v>
      </c>
      <c r="E155" s="454" t="s">
        <v>213</v>
      </c>
      <c r="F155" s="470">
        <v>8.9499999999999993</v>
      </c>
      <c r="G155" s="456">
        <f t="shared" si="7"/>
        <v>8.9499999999999993</v>
      </c>
      <c r="H155" s="454" t="s">
        <v>1346</v>
      </c>
    </row>
    <row r="156" spans="2:8">
      <c r="B156" s="454" t="s">
        <v>1385</v>
      </c>
      <c r="C156" s="452" t="s">
        <v>1386</v>
      </c>
      <c r="D156" s="454">
        <v>1</v>
      </c>
      <c r="E156" s="454" t="s">
        <v>213</v>
      </c>
      <c r="F156" s="470">
        <v>14.54</v>
      </c>
      <c r="G156" s="456">
        <f t="shared" si="7"/>
        <v>14.54</v>
      </c>
      <c r="H156" s="454" t="s">
        <v>1346</v>
      </c>
    </row>
    <row r="157" spans="2:8" ht="24">
      <c r="B157" s="454" t="s">
        <v>1380</v>
      </c>
      <c r="C157" s="452" t="s">
        <v>1387</v>
      </c>
      <c r="D157" s="454">
        <v>1</v>
      </c>
      <c r="E157" s="454" t="s">
        <v>213</v>
      </c>
      <c r="F157" s="470">
        <v>6.67</v>
      </c>
      <c r="G157" s="456">
        <f t="shared" si="7"/>
        <v>6.67</v>
      </c>
      <c r="H157" s="454" t="s">
        <v>1346</v>
      </c>
    </row>
    <row r="158" spans="2:8">
      <c r="B158" s="460"/>
      <c r="C158" s="482"/>
      <c r="D158" s="623" t="s">
        <v>1360</v>
      </c>
      <c r="E158" s="624"/>
      <c r="F158" s="624"/>
      <c r="G158" s="625">
        <f>SUM(G150:G157)</f>
        <v>80.672000000000011</v>
      </c>
      <c r="H158" s="624"/>
    </row>
    <row r="159" spans="2:8">
      <c r="B159" s="463"/>
      <c r="C159" s="483"/>
      <c r="D159" s="463"/>
      <c r="E159" s="463"/>
      <c r="F159" s="464"/>
      <c r="G159" s="463"/>
      <c r="H159" s="465"/>
    </row>
    <row r="160" spans="2:8">
      <c r="B160" s="447" t="s">
        <v>1330</v>
      </c>
      <c r="C160" s="480" t="s">
        <v>1331</v>
      </c>
      <c r="D160" s="447" t="s">
        <v>1332</v>
      </c>
      <c r="E160" s="621" t="s">
        <v>1333</v>
      </c>
      <c r="F160" s="621"/>
      <c r="G160" s="621"/>
      <c r="H160" s="621"/>
    </row>
    <row r="161" spans="2:8" ht="24">
      <c r="B161" s="448" t="s">
        <v>277</v>
      </c>
      <c r="C161" s="467" t="s">
        <v>278</v>
      </c>
      <c r="D161" s="449" t="s">
        <v>205</v>
      </c>
      <c r="E161" s="622" t="s">
        <v>1368</v>
      </c>
      <c r="F161" s="622"/>
      <c r="G161" s="622"/>
      <c r="H161" s="622"/>
    </row>
    <row r="162" spans="2:8" ht="24">
      <c r="B162" s="450" t="s">
        <v>1335</v>
      </c>
      <c r="C162" s="481" t="s">
        <v>1336</v>
      </c>
      <c r="D162" s="450" t="s">
        <v>1337</v>
      </c>
      <c r="E162" s="450" t="s">
        <v>1332</v>
      </c>
      <c r="F162" s="469" t="s">
        <v>1338</v>
      </c>
      <c r="G162" s="450" t="s">
        <v>1339</v>
      </c>
      <c r="H162" s="450" t="s">
        <v>1340</v>
      </c>
    </row>
    <row r="163" spans="2:8">
      <c r="B163" s="454" t="s">
        <v>1369</v>
      </c>
      <c r="C163" s="452" t="s">
        <v>1370</v>
      </c>
      <c r="D163" s="454">
        <f>2.2/2</f>
        <v>1.1000000000000001</v>
      </c>
      <c r="E163" s="454" t="s">
        <v>212</v>
      </c>
      <c r="F163" s="470">
        <v>3.62</v>
      </c>
      <c r="G163" s="456">
        <f t="shared" ref="G163:G170" si="8">(D163*F163)</f>
        <v>3.9820000000000007</v>
      </c>
      <c r="H163" s="454" t="s">
        <v>1346</v>
      </c>
    </row>
    <row r="164" spans="2:8">
      <c r="B164" s="454" t="s">
        <v>1371</v>
      </c>
      <c r="C164" s="452" t="s">
        <v>1372</v>
      </c>
      <c r="D164" s="454">
        <f>1/2</f>
        <v>0.5</v>
      </c>
      <c r="E164" s="454" t="s">
        <v>213</v>
      </c>
      <c r="F164" s="470">
        <v>2.39</v>
      </c>
      <c r="G164" s="456">
        <f t="shared" si="8"/>
        <v>1.1950000000000001</v>
      </c>
      <c r="H164" s="454" t="s">
        <v>1346</v>
      </c>
    </row>
    <row r="165" spans="2:8" ht="24">
      <c r="B165" s="454" t="s">
        <v>1373</v>
      </c>
      <c r="C165" s="452" t="s">
        <v>1374</v>
      </c>
      <c r="D165" s="454">
        <v>2.2000000000000002</v>
      </c>
      <c r="E165" s="454" t="s">
        <v>212</v>
      </c>
      <c r="F165" s="470">
        <v>7.52</v>
      </c>
      <c r="G165" s="456">
        <f t="shared" si="8"/>
        <v>16.544</v>
      </c>
      <c r="H165" s="454" t="s">
        <v>1346</v>
      </c>
    </row>
    <row r="166" spans="2:8" ht="24">
      <c r="B166" s="454">
        <v>91871</v>
      </c>
      <c r="C166" s="452" t="s">
        <v>1375</v>
      </c>
      <c r="D166" s="454">
        <f>4.2/2</f>
        <v>2.1</v>
      </c>
      <c r="E166" s="454" t="s">
        <v>212</v>
      </c>
      <c r="F166" s="470">
        <v>6.66</v>
      </c>
      <c r="G166" s="456">
        <f t="shared" si="8"/>
        <v>13.986000000000001</v>
      </c>
      <c r="H166" s="454" t="s">
        <v>1346</v>
      </c>
    </row>
    <row r="167" spans="2:8" ht="24">
      <c r="B167" s="454">
        <v>939</v>
      </c>
      <c r="C167" s="452" t="s">
        <v>1376</v>
      </c>
      <c r="D167" s="454">
        <f>(12.6/2)*1.3</f>
        <v>8.19</v>
      </c>
      <c r="E167" s="454" t="s">
        <v>212</v>
      </c>
      <c r="F167" s="470">
        <v>2.35</v>
      </c>
      <c r="G167" s="456">
        <f t="shared" si="8"/>
        <v>19.246500000000001</v>
      </c>
      <c r="H167" s="454" t="s">
        <v>1346</v>
      </c>
    </row>
    <row r="168" spans="2:8" ht="24">
      <c r="B168" s="454" t="s">
        <v>1377</v>
      </c>
      <c r="C168" s="452" t="s">
        <v>1378</v>
      </c>
      <c r="D168" s="454">
        <v>1</v>
      </c>
      <c r="E168" s="454" t="s">
        <v>213</v>
      </c>
      <c r="F168" s="470">
        <v>8.9499999999999993</v>
      </c>
      <c r="G168" s="456">
        <f t="shared" si="8"/>
        <v>8.9499999999999993</v>
      </c>
      <c r="H168" s="454" t="s">
        <v>1346</v>
      </c>
    </row>
    <row r="169" spans="2:8">
      <c r="B169" s="471">
        <v>91959</v>
      </c>
      <c r="C169" s="484" t="s">
        <v>1388</v>
      </c>
      <c r="D169" s="454">
        <v>1</v>
      </c>
      <c r="E169" s="454" t="s">
        <v>213</v>
      </c>
      <c r="F169" s="470">
        <v>23</v>
      </c>
      <c r="G169" s="456">
        <f t="shared" si="8"/>
        <v>23</v>
      </c>
      <c r="H169" s="454" t="s">
        <v>1346</v>
      </c>
    </row>
    <row r="170" spans="2:8" ht="24">
      <c r="B170" s="454" t="s">
        <v>1380</v>
      </c>
      <c r="C170" s="452" t="s">
        <v>1381</v>
      </c>
      <c r="D170" s="454">
        <v>1</v>
      </c>
      <c r="E170" s="454" t="s">
        <v>213</v>
      </c>
      <c r="F170" s="470">
        <v>6.67</v>
      </c>
      <c r="G170" s="456">
        <f t="shared" si="8"/>
        <v>6.67</v>
      </c>
      <c r="H170" s="454" t="s">
        <v>1346</v>
      </c>
    </row>
    <row r="171" spans="2:8">
      <c r="B171" s="460"/>
      <c r="C171" s="482"/>
      <c r="D171" s="623" t="s">
        <v>1360</v>
      </c>
      <c r="E171" s="624"/>
      <c r="F171" s="624"/>
      <c r="G171" s="625">
        <f>SUM(G163:G170)</f>
        <v>93.57350000000001</v>
      </c>
      <c r="H171" s="624"/>
    </row>
    <row r="172" spans="2:8">
      <c r="B172" s="463"/>
      <c r="C172" s="483"/>
      <c r="D172" s="463"/>
      <c r="E172" s="463"/>
      <c r="F172" s="464"/>
      <c r="G172" s="463"/>
      <c r="H172" s="465"/>
    </row>
    <row r="173" spans="2:8">
      <c r="B173" s="447" t="s">
        <v>1330</v>
      </c>
      <c r="C173" s="480" t="s">
        <v>1331</v>
      </c>
      <c r="D173" s="447" t="s">
        <v>1332</v>
      </c>
      <c r="E173" s="621" t="s">
        <v>1333</v>
      </c>
      <c r="F173" s="621"/>
      <c r="G173" s="621"/>
      <c r="H173" s="621"/>
    </row>
    <row r="174" spans="2:8" ht="24">
      <c r="B174" s="448" t="s">
        <v>279</v>
      </c>
      <c r="C174" s="467" t="s">
        <v>280</v>
      </c>
      <c r="D174" s="449" t="s">
        <v>205</v>
      </c>
      <c r="E174" s="622" t="s">
        <v>1389</v>
      </c>
      <c r="F174" s="622"/>
      <c r="G174" s="622"/>
      <c r="H174" s="622"/>
    </row>
    <row r="175" spans="2:8" ht="24">
      <c r="B175" s="450" t="s">
        <v>1335</v>
      </c>
      <c r="C175" s="481" t="s">
        <v>1336</v>
      </c>
      <c r="D175" s="450" t="s">
        <v>1337</v>
      </c>
      <c r="E175" s="450" t="s">
        <v>1332</v>
      </c>
      <c r="F175" s="469" t="s">
        <v>1338</v>
      </c>
      <c r="G175" s="450" t="s">
        <v>1339</v>
      </c>
      <c r="H175" s="450" t="s">
        <v>1340</v>
      </c>
    </row>
    <row r="176" spans="2:8">
      <c r="B176" s="454" t="s">
        <v>1369</v>
      </c>
      <c r="C176" s="452" t="s">
        <v>1370</v>
      </c>
      <c r="D176" s="454">
        <v>2.2000000000000002</v>
      </c>
      <c r="E176" s="454" t="s">
        <v>476</v>
      </c>
      <c r="F176" s="470">
        <v>3.62</v>
      </c>
      <c r="G176" s="456">
        <f t="shared" ref="G176:G183" si="9">(D176*F176)</f>
        <v>7.9640000000000013</v>
      </c>
      <c r="H176" s="454" t="s">
        <v>1346</v>
      </c>
    </row>
    <row r="177" spans="2:8">
      <c r="B177" s="454" t="s">
        <v>1371</v>
      </c>
      <c r="C177" s="452" t="s">
        <v>1372</v>
      </c>
      <c r="D177" s="454">
        <v>1</v>
      </c>
      <c r="E177" s="454" t="s">
        <v>213</v>
      </c>
      <c r="F177" s="470">
        <v>2.39</v>
      </c>
      <c r="G177" s="456">
        <f t="shared" si="9"/>
        <v>2.39</v>
      </c>
      <c r="H177" s="454" t="s">
        <v>1346</v>
      </c>
    </row>
    <row r="178" spans="2:8" ht="24">
      <c r="B178" s="454" t="s">
        <v>1373</v>
      </c>
      <c r="C178" s="452" t="s">
        <v>1374</v>
      </c>
      <c r="D178" s="454">
        <v>2.2000000000000002</v>
      </c>
      <c r="E178" s="454" t="s">
        <v>212</v>
      </c>
      <c r="F178" s="470">
        <v>7.52</v>
      </c>
      <c r="G178" s="456">
        <f t="shared" si="9"/>
        <v>16.544</v>
      </c>
      <c r="H178" s="454" t="s">
        <v>1346</v>
      </c>
    </row>
    <row r="179" spans="2:8" ht="24">
      <c r="B179" s="454">
        <v>91871</v>
      </c>
      <c r="C179" s="452" t="s">
        <v>1375</v>
      </c>
      <c r="D179" s="454">
        <v>4.2</v>
      </c>
      <c r="E179" s="454" t="s">
        <v>212</v>
      </c>
      <c r="F179" s="470">
        <v>6.66</v>
      </c>
      <c r="G179" s="456">
        <f t="shared" si="9"/>
        <v>27.972000000000001</v>
      </c>
      <c r="H179" s="454" t="s">
        <v>1346</v>
      </c>
    </row>
    <row r="180" spans="2:8" ht="24">
      <c r="B180" s="458" t="s">
        <v>262</v>
      </c>
      <c r="C180" s="452" t="s">
        <v>1376</v>
      </c>
      <c r="D180" s="454">
        <v>12.6</v>
      </c>
      <c r="E180" s="454" t="s">
        <v>212</v>
      </c>
      <c r="F180" s="470">
        <v>2.35</v>
      </c>
      <c r="G180" s="456">
        <f t="shared" si="9"/>
        <v>29.61</v>
      </c>
      <c r="H180" s="454" t="s">
        <v>1346</v>
      </c>
    </row>
    <row r="181" spans="2:8" ht="24">
      <c r="B181" s="454" t="s">
        <v>1377</v>
      </c>
      <c r="C181" s="452" t="s">
        <v>1378</v>
      </c>
      <c r="D181" s="454">
        <v>1</v>
      </c>
      <c r="E181" s="454" t="s">
        <v>213</v>
      </c>
      <c r="F181" s="470">
        <v>8.9499999999999993</v>
      </c>
      <c r="G181" s="456">
        <f t="shared" si="9"/>
        <v>8.9499999999999993</v>
      </c>
      <c r="H181" s="454" t="s">
        <v>1346</v>
      </c>
    </row>
    <row r="182" spans="2:8">
      <c r="B182" s="471">
        <v>91996</v>
      </c>
      <c r="C182" s="452" t="s">
        <v>1390</v>
      </c>
      <c r="D182" s="454">
        <v>1</v>
      </c>
      <c r="E182" s="454" t="s">
        <v>213</v>
      </c>
      <c r="F182" s="470">
        <v>17.3</v>
      </c>
      <c r="G182" s="456">
        <f t="shared" si="9"/>
        <v>17.3</v>
      </c>
      <c r="H182" s="454" t="s">
        <v>1346</v>
      </c>
    </row>
    <row r="183" spans="2:8" ht="24">
      <c r="B183" s="454" t="s">
        <v>1380</v>
      </c>
      <c r="C183" s="452" t="s">
        <v>1387</v>
      </c>
      <c r="D183" s="454">
        <v>0.5</v>
      </c>
      <c r="E183" s="454" t="s">
        <v>213</v>
      </c>
      <c r="F183" s="470">
        <v>6.67</v>
      </c>
      <c r="G183" s="456">
        <f t="shared" si="9"/>
        <v>3.335</v>
      </c>
      <c r="H183" s="454" t="s">
        <v>1346</v>
      </c>
    </row>
    <row r="184" spans="2:8">
      <c r="B184" s="460"/>
      <c r="C184" s="482"/>
      <c r="D184" s="623" t="s">
        <v>1360</v>
      </c>
      <c r="E184" s="624"/>
      <c r="F184" s="624"/>
      <c r="G184" s="625">
        <f>SUM(G176:G183)</f>
        <v>114.065</v>
      </c>
      <c r="H184" s="624"/>
    </row>
    <row r="185" spans="2:8">
      <c r="B185" s="460"/>
      <c r="C185" s="482"/>
      <c r="D185" s="460"/>
      <c r="E185" s="460"/>
      <c r="F185" s="472"/>
      <c r="G185" s="460"/>
      <c r="H185" s="462"/>
    </row>
    <row r="186" spans="2:8">
      <c r="B186" s="447" t="s">
        <v>1330</v>
      </c>
      <c r="C186" s="480" t="s">
        <v>1331</v>
      </c>
      <c r="D186" s="447" t="s">
        <v>1332</v>
      </c>
      <c r="E186" s="621" t="s">
        <v>1333</v>
      </c>
      <c r="F186" s="621"/>
      <c r="G186" s="621"/>
      <c r="H186" s="621"/>
    </row>
    <row r="187" spans="2:8" ht="24">
      <c r="B187" s="448" t="s">
        <v>281</v>
      </c>
      <c r="C187" s="467" t="s">
        <v>282</v>
      </c>
      <c r="D187" s="449" t="s">
        <v>205</v>
      </c>
      <c r="E187" s="622" t="s">
        <v>1389</v>
      </c>
      <c r="F187" s="622"/>
      <c r="G187" s="622"/>
      <c r="H187" s="622"/>
    </row>
    <row r="188" spans="2:8" ht="24">
      <c r="B188" s="450" t="s">
        <v>1335</v>
      </c>
      <c r="C188" s="481" t="s">
        <v>1336</v>
      </c>
      <c r="D188" s="450" t="s">
        <v>1337</v>
      </c>
      <c r="E188" s="450" t="s">
        <v>1332</v>
      </c>
      <c r="F188" s="469" t="s">
        <v>1338</v>
      </c>
      <c r="G188" s="450" t="s">
        <v>1339</v>
      </c>
      <c r="H188" s="450" t="s">
        <v>1340</v>
      </c>
    </row>
    <row r="189" spans="2:8">
      <c r="B189" s="454" t="s">
        <v>1369</v>
      </c>
      <c r="C189" s="452" t="s">
        <v>1370</v>
      </c>
      <c r="D189" s="454">
        <v>2.2000000000000002</v>
      </c>
      <c r="E189" s="454" t="s">
        <v>476</v>
      </c>
      <c r="F189" s="470">
        <v>3.62</v>
      </c>
      <c r="G189" s="456">
        <f t="shared" ref="G189:G196" si="10">(D189*F189)</f>
        <v>7.9640000000000013</v>
      </c>
      <c r="H189" s="454" t="s">
        <v>1346</v>
      </c>
    </row>
    <row r="190" spans="2:8">
      <c r="B190" s="454" t="s">
        <v>1371</v>
      </c>
      <c r="C190" s="452" t="s">
        <v>1372</v>
      </c>
      <c r="D190" s="454">
        <v>1</v>
      </c>
      <c r="E190" s="454" t="s">
        <v>213</v>
      </c>
      <c r="F190" s="470">
        <v>2.39</v>
      </c>
      <c r="G190" s="456">
        <f t="shared" si="10"/>
        <v>2.39</v>
      </c>
      <c r="H190" s="454" t="s">
        <v>1346</v>
      </c>
    </row>
    <row r="191" spans="2:8" ht="24">
      <c r="B191" s="454" t="s">
        <v>1373</v>
      </c>
      <c r="C191" s="452" t="s">
        <v>1374</v>
      </c>
      <c r="D191" s="454">
        <v>2.2000000000000002</v>
      </c>
      <c r="E191" s="454" t="s">
        <v>212</v>
      </c>
      <c r="F191" s="470">
        <v>7.52</v>
      </c>
      <c r="G191" s="456">
        <f t="shared" si="10"/>
        <v>16.544</v>
      </c>
      <c r="H191" s="454" t="s">
        <v>1346</v>
      </c>
    </row>
    <row r="192" spans="2:8" ht="24">
      <c r="B192" s="454">
        <v>91871</v>
      </c>
      <c r="C192" s="452" t="s">
        <v>1375</v>
      </c>
      <c r="D192" s="454">
        <v>4.2</v>
      </c>
      <c r="E192" s="454" t="s">
        <v>476</v>
      </c>
      <c r="F192" s="470">
        <v>6.66</v>
      </c>
      <c r="G192" s="456">
        <f t="shared" si="10"/>
        <v>27.972000000000001</v>
      </c>
      <c r="H192" s="454" t="s">
        <v>1346</v>
      </c>
    </row>
    <row r="193" spans="2:8" ht="24">
      <c r="B193" s="471" t="s">
        <v>1391</v>
      </c>
      <c r="C193" s="452" t="s">
        <v>1392</v>
      </c>
      <c r="D193" s="454">
        <v>26</v>
      </c>
      <c r="E193" s="454" t="s">
        <v>212</v>
      </c>
      <c r="F193" s="470">
        <v>3.84</v>
      </c>
      <c r="G193" s="456">
        <f t="shared" si="10"/>
        <v>99.84</v>
      </c>
      <c r="H193" s="454" t="s">
        <v>1346</v>
      </c>
    </row>
    <row r="194" spans="2:8" ht="24">
      <c r="B194" s="454" t="s">
        <v>1377</v>
      </c>
      <c r="C194" s="452" t="s">
        <v>1378</v>
      </c>
      <c r="D194" s="454">
        <v>1</v>
      </c>
      <c r="E194" s="454" t="s">
        <v>212</v>
      </c>
      <c r="F194" s="470">
        <v>8.9499999999999993</v>
      </c>
      <c r="G194" s="456">
        <f t="shared" si="10"/>
        <v>8.9499999999999993</v>
      </c>
      <c r="H194" s="454" t="s">
        <v>1346</v>
      </c>
    </row>
    <row r="195" spans="2:8" ht="24">
      <c r="B195" s="471" t="s">
        <v>1393</v>
      </c>
      <c r="C195" s="484" t="s">
        <v>1394</v>
      </c>
      <c r="D195" s="454">
        <v>1</v>
      </c>
      <c r="E195" s="454" t="s">
        <v>213</v>
      </c>
      <c r="F195" s="470">
        <v>18.600000000000001</v>
      </c>
      <c r="G195" s="456">
        <f t="shared" si="10"/>
        <v>18.600000000000001</v>
      </c>
      <c r="H195" s="454" t="s">
        <v>1346</v>
      </c>
    </row>
    <row r="196" spans="2:8" ht="24">
      <c r="B196" s="454" t="s">
        <v>1380</v>
      </c>
      <c r="C196" s="452" t="s">
        <v>1387</v>
      </c>
      <c r="D196" s="454">
        <v>0.5</v>
      </c>
      <c r="E196" s="454" t="s">
        <v>213</v>
      </c>
      <c r="F196" s="470">
        <v>6.67</v>
      </c>
      <c r="G196" s="456">
        <f t="shared" si="10"/>
        <v>3.335</v>
      </c>
      <c r="H196" s="454" t="s">
        <v>1346</v>
      </c>
    </row>
    <row r="197" spans="2:8">
      <c r="B197" s="460"/>
      <c r="C197" s="482"/>
      <c r="D197" s="623" t="s">
        <v>1360</v>
      </c>
      <c r="E197" s="624"/>
      <c r="F197" s="624"/>
      <c r="G197" s="625">
        <f>SUM(G189:G196)</f>
        <v>185.595</v>
      </c>
      <c r="H197" s="624"/>
    </row>
    <row r="198" spans="2:8">
      <c r="B198" s="463"/>
      <c r="C198" s="483"/>
      <c r="D198" s="463"/>
      <c r="E198" s="463"/>
      <c r="F198" s="464"/>
      <c r="G198" s="463"/>
      <c r="H198" s="465"/>
    </row>
    <row r="199" spans="2:8">
      <c r="B199" s="447" t="s">
        <v>1330</v>
      </c>
      <c r="C199" s="480" t="s">
        <v>1331</v>
      </c>
      <c r="D199" s="447" t="s">
        <v>1332</v>
      </c>
      <c r="E199" s="621" t="s">
        <v>1333</v>
      </c>
      <c r="F199" s="621"/>
      <c r="G199" s="621"/>
      <c r="H199" s="621"/>
    </row>
    <row r="200" spans="2:8" ht="36">
      <c r="B200" s="468" t="s">
        <v>283</v>
      </c>
      <c r="C200" s="467" t="s">
        <v>284</v>
      </c>
      <c r="D200" s="449" t="s">
        <v>213</v>
      </c>
      <c r="E200" s="622" t="s">
        <v>1395</v>
      </c>
      <c r="F200" s="622"/>
      <c r="G200" s="622"/>
      <c r="H200" s="622"/>
    </row>
    <row r="201" spans="2:8" ht="24">
      <c r="B201" s="450" t="s">
        <v>1335</v>
      </c>
      <c r="C201" s="481" t="s">
        <v>1336</v>
      </c>
      <c r="D201" s="450" t="s">
        <v>1337</v>
      </c>
      <c r="E201" s="450" t="s">
        <v>1332</v>
      </c>
      <c r="F201" s="469" t="s">
        <v>1338</v>
      </c>
      <c r="G201" s="450" t="s">
        <v>1339</v>
      </c>
      <c r="H201" s="450" t="s">
        <v>1340</v>
      </c>
    </row>
    <row r="202" spans="2:8">
      <c r="B202" s="473" t="s">
        <v>1396</v>
      </c>
      <c r="C202" s="467" t="s">
        <v>1397</v>
      </c>
      <c r="D202" s="449">
        <v>1</v>
      </c>
      <c r="E202" s="454" t="s">
        <v>213</v>
      </c>
      <c r="F202" s="474">
        <v>620.29999999999995</v>
      </c>
      <c r="G202" s="456">
        <f>(D202*F202)</f>
        <v>620.29999999999995</v>
      </c>
      <c r="H202" s="449" t="s">
        <v>1398</v>
      </c>
    </row>
    <row r="203" spans="2:8">
      <c r="B203" s="471" t="s">
        <v>1399</v>
      </c>
      <c r="C203" s="467" t="s">
        <v>1400</v>
      </c>
      <c r="D203" s="449">
        <v>5.18</v>
      </c>
      <c r="E203" s="454" t="s">
        <v>471</v>
      </c>
      <c r="F203" s="474">
        <v>69.3</v>
      </c>
      <c r="G203" s="456">
        <f t="shared" ref="G203:G211" si="11">(D203*F203)</f>
        <v>358.97399999999999</v>
      </c>
      <c r="H203" s="449" t="s">
        <v>1398</v>
      </c>
    </row>
    <row r="204" spans="2:8">
      <c r="B204" s="473" t="s">
        <v>1401</v>
      </c>
      <c r="C204" s="467" t="s">
        <v>1402</v>
      </c>
      <c r="D204" s="449">
        <f>1*0.6*0.6</f>
        <v>0.36</v>
      </c>
      <c r="E204" s="454" t="s">
        <v>468</v>
      </c>
      <c r="F204" s="474">
        <v>203.27</v>
      </c>
      <c r="G204" s="456">
        <f t="shared" si="11"/>
        <v>73.177199999999999</v>
      </c>
      <c r="H204" s="449" t="s">
        <v>1398</v>
      </c>
    </row>
    <row r="205" spans="2:8">
      <c r="B205" s="473" t="s">
        <v>1403</v>
      </c>
      <c r="C205" s="467" t="s">
        <v>1404</v>
      </c>
      <c r="D205" s="449">
        <v>2.16</v>
      </c>
      <c r="E205" s="454" t="s">
        <v>471</v>
      </c>
      <c r="F205" s="474">
        <v>69.3</v>
      </c>
      <c r="G205" s="456">
        <f t="shared" si="11"/>
        <v>149.68800000000002</v>
      </c>
      <c r="H205" s="449" t="s">
        <v>1398</v>
      </c>
    </row>
    <row r="206" spans="2:8">
      <c r="B206" s="473"/>
      <c r="C206" s="467" t="s">
        <v>1405</v>
      </c>
      <c r="D206" s="449">
        <v>1.08</v>
      </c>
      <c r="E206" s="454" t="s">
        <v>471</v>
      </c>
      <c r="F206" s="474">
        <v>69.3</v>
      </c>
      <c r="G206" s="456">
        <f t="shared" si="11"/>
        <v>74.844000000000008</v>
      </c>
      <c r="H206" s="449" t="s">
        <v>1398</v>
      </c>
    </row>
    <row r="207" spans="2:8">
      <c r="B207" s="473"/>
      <c r="C207" s="467" t="s">
        <v>1406</v>
      </c>
      <c r="D207" s="449">
        <v>1.08</v>
      </c>
      <c r="E207" s="454" t="s">
        <v>471</v>
      </c>
      <c r="F207" s="474">
        <v>69.3</v>
      </c>
      <c r="G207" s="456">
        <f t="shared" si="11"/>
        <v>74.844000000000008</v>
      </c>
      <c r="H207" s="449" t="s">
        <v>1398</v>
      </c>
    </row>
    <row r="208" spans="2:8">
      <c r="B208" s="473" t="s">
        <v>1407</v>
      </c>
      <c r="C208" s="467" t="s">
        <v>1408</v>
      </c>
      <c r="D208" s="449">
        <v>10</v>
      </c>
      <c r="E208" s="454" t="s">
        <v>213</v>
      </c>
      <c r="F208" s="474">
        <v>14</v>
      </c>
      <c r="G208" s="456">
        <f t="shared" si="11"/>
        <v>140</v>
      </c>
      <c r="H208" s="449" t="s">
        <v>1398</v>
      </c>
    </row>
    <row r="209" spans="2:8">
      <c r="B209" s="473" t="s">
        <v>1409</v>
      </c>
      <c r="C209" s="467" t="s">
        <v>1410</v>
      </c>
      <c r="D209" s="449">
        <v>1</v>
      </c>
      <c r="E209" s="454" t="s">
        <v>213</v>
      </c>
      <c r="F209" s="474">
        <v>16</v>
      </c>
      <c r="G209" s="456">
        <f t="shared" si="11"/>
        <v>16</v>
      </c>
      <c r="H209" s="449" t="s">
        <v>1398</v>
      </c>
    </row>
    <row r="210" spans="2:8">
      <c r="B210" s="454" t="s">
        <v>1344</v>
      </c>
      <c r="C210" s="452" t="s">
        <v>1345</v>
      </c>
      <c r="D210" s="454">
        <v>45.6</v>
      </c>
      <c r="E210" s="454" t="s">
        <v>476</v>
      </c>
      <c r="F210" s="470">
        <v>15</v>
      </c>
      <c r="G210" s="456">
        <f t="shared" si="11"/>
        <v>684</v>
      </c>
      <c r="H210" s="454" t="s">
        <v>1346</v>
      </c>
    </row>
    <row r="211" spans="2:8">
      <c r="B211" s="454" t="s">
        <v>1347</v>
      </c>
      <c r="C211" s="452" t="s">
        <v>1348</v>
      </c>
      <c r="D211" s="454">
        <v>24</v>
      </c>
      <c r="E211" s="454" t="s">
        <v>476</v>
      </c>
      <c r="F211" s="470">
        <v>11.38</v>
      </c>
      <c r="G211" s="456">
        <f t="shared" si="11"/>
        <v>273.12</v>
      </c>
      <c r="H211" s="454" t="s">
        <v>1346</v>
      </c>
    </row>
    <row r="212" spans="2:8">
      <c r="B212" s="460"/>
      <c r="C212" s="482"/>
      <c r="D212" s="632" t="s">
        <v>1360</v>
      </c>
      <c r="E212" s="633"/>
      <c r="F212" s="633"/>
      <c r="G212" s="634">
        <f>SUM(G202:G211)</f>
        <v>2464.9472000000001</v>
      </c>
      <c r="H212" s="633"/>
    </row>
    <row r="213" spans="2:8">
      <c r="B213" s="460"/>
      <c r="C213" s="482"/>
      <c r="D213" s="460"/>
      <c r="E213" s="460"/>
      <c r="F213" s="472"/>
      <c r="G213" s="460"/>
      <c r="H213" s="462"/>
    </row>
    <row r="214" spans="2:8">
      <c r="B214" s="447" t="s">
        <v>1330</v>
      </c>
      <c r="C214" s="480" t="s">
        <v>1331</v>
      </c>
      <c r="D214" s="447" t="s">
        <v>1332</v>
      </c>
      <c r="E214" s="621" t="s">
        <v>1333</v>
      </c>
      <c r="F214" s="621"/>
      <c r="G214" s="621"/>
      <c r="H214" s="621"/>
    </row>
    <row r="215" spans="2:8" ht="24">
      <c r="B215" s="468" t="s">
        <v>292</v>
      </c>
      <c r="C215" s="467" t="s">
        <v>1307</v>
      </c>
      <c r="D215" s="449" t="s">
        <v>213</v>
      </c>
      <c r="E215" s="622" t="s">
        <v>1411</v>
      </c>
      <c r="F215" s="622"/>
      <c r="G215" s="622"/>
      <c r="H215" s="622"/>
    </row>
    <row r="216" spans="2:8" ht="24">
      <c r="B216" s="450" t="s">
        <v>1335</v>
      </c>
      <c r="C216" s="481" t="s">
        <v>1336</v>
      </c>
      <c r="D216" s="450" t="s">
        <v>1337</v>
      </c>
      <c r="E216" s="450" t="s">
        <v>1332</v>
      </c>
      <c r="F216" s="469" t="s">
        <v>1338</v>
      </c>
      <c r="G216" s="450" t="s">
        <v>1339</v>
      </c>
      <c r="H216" s="450" t="s">
        <v>1340</v>
      </c>
    </row>
    <row r="217" spans="2:8" ht="24">
      <c r="B217" s="473" t="s">
        <v>1412</v>
      </c>
      <c r="C217" s="467" t="s">
        <v>1413</v>
      </c>
      <c r="D217" s="449">
        <v>1</v>
      </c>
      <c r="E217" s="454" t="s">
        <v>213</v>
      </c>
      <c r="F217" s="474">
        <v>73.61</v>
      </c>
      <c r="G217" s="470">
        <f>(D217*F217)</f>
        <v>73.61</v>
      </c>
      <c r="H217" s="454" t="s">
        <v>1343</v>
      </c>
    </row>
    <row r="218" spans="2:8">
      <c r="B218" s="449">
        <v>38194</v>
      </c>
      <c r="C218" s="467" t="s">
        <v>1414</v>
      </c>
      <c r="D218" s="449">
        <v>1</v>
      </c>
      <c r="E218" s="454" t="s">
        <v>213</v>
      </c>
      <c r="F218" s="474">
        <v>24.3</v>
      </c>
      <c r="G218" s="470">
        <f>(D218*F218)</f>
        <v>24.3</v>
      </c>
      <c r="H218" s="454" t="s">
        <v>1353</v>
      </c>
    </row>
    <row r="219" spans="2:8">
      <c r="B219" s="449">
        <v>88264</v>
      </c>
      <c r="C219" s="452" t="s">
        <v>1345</v>
      </c>
      <c r="D219" s="449">
        <v>0.7</v>
      </c>
      <c r="E219" s="454" t="s">
        <v>476</v>
      </c>
      <c r="F219" s="474">
        <v>15</v>
      </c>
      <c r="G219" s="470">
        <f>(D219*F219)</f>
        <v>10.5</v>
      </c>
      <c r="H219" s="454" t="s">
        <v>1346</v>
      </c>
    </row>
    <row r="220" spans="2:8">
      <c r="B220" s="449">
        <v>88247</v>
      </c>
      <c r="C220" s="452" t="s">
        <v>1348</v>
      </c>
      <c r="D220" s="449">
        <v>0.7</v>
      </c>
      <c r="E220" s="454" t="s">
        <v>476</v>
      </c>
      <c r="F220" s="474">
        <v>11.38</v>
      </c>
      <c r="G220" s="470">
        <f>(D220*F220)</f>
        <v>7.9660000000000002</v>
      </c>
      <c r="H220" s="454" t="s">
        <v>1346</v>
      </c>
    </row>
    <row r="221" spans="2:8">
      <c r="B221" s="460"/>
      <c r="C221" s="482"/>
      <c r="D221" s="632" t="s">
        <v>1360</v>
      </c>
      <c r="E221" s="633"/>
      <c r="F221" s="633"/>
      <c r="G221" s="634">
        <f>SUM(G217:G220)</f>
        <v>116.37599999999999</v>
      </c>
      <c r="H221" s="633"/>
    </row>
    <row r="222" spans="2:8">
      <c r="B222" s="460"/>
      <c r="C222" s="482"/>
      <c r="D222" s="460"/>
      <c r="E222" s="460"/>
      <c r="F222" s="472"/>
      <c r="G222" s="460"/>
      <c r="H222" s="462"/>
    </row>
    <row r="223" spans="2:8">
      <c r="B223" s="447" t="s">
        <v>1330</v>
      </c>
      <c r="C223" s="480" t="s">
        <v>1331</v>
      </c>
      <c r="D223" s="447" t="s">
        <v>1332</v>
      </c>
      <c r="E223" s="621" t="s">
        <v>1333</v>
      </c>
      <c r="F223" s="621"/>
      <c r="G223" s="621"/>
      <c r="H223" s="621"/>
    </row>
    <row r="224" spans="2:8">
      <c r="B224" s="468" t="s">
        <v>290</v>
      </c>
      <c r="C224" s="467" t="s">
        <v>291</v>
      </c>
      <c r="D224" s="449" t="s">
        <v>213</v>
      </c>
      <c r="E224" s="635" t="s">
        <v>1415</v>
      </c>
      <c r="F224" s="622"/>
      <c r="G224" s="622"/>
      <c r="H224" s="622"/>
    </row>
    <row r="225" spans="2:8" ht="24">
      <c r="B225" s="450" t="s">
        <v>1335</v>
      </c>
      <c r="C225" s="481" t="s">
        <v>1336</v>
      </c>
      <c r="D225" s="450" t="s">
        <v>1337</v>
      </c>
      <c r="E225" s="450" t="s">
        <v>1332</v>
      </c>
      <c r="F225" s="469" t="s">
        <v>1338</v>
      </c>
      <c r="G225" s="450" t="s">
        <v>1339</v>
      </c>
      <c r="H225" s="450" t="s">
        <v>1340</v>
      </c>
    </row>
    <row r="226" spans="2:8">
      <c r="B226" s="473" t="s">
        <v>1416</v>
      </c>
      <c r="C226" s="452" t="s">
        <v>1417</v>
      </c>
      <c r="D226" s="449">
        <v>1</v>
      </c>
      <c r="E226" s="454" t="s">
        <v>1418</v>
      </c>
      <c r="F226" s="474">
        <v>140.30000000000001</v>
      </c>
      <c r="G226" s="470">
        <f>(D226*F226)</f>
        <v>140.30000000000001</v>
      </c>
      <c r="H226" s="454" t="s">
        <v>1353</v>
      </c>
    </row>
    <row r="227" spans="2:8">
      <c r="B227" s="449">
        <v>88264</v>
      </c>
      <c r="C227" s="452" t="s">
        <v>1345</v>
      </c>
      <c r="D227" s="449">
        <v>0.6</v>
      </c>
      <c r="E227" s="454" t="s">
        <v>476</v>
      </c>
      <c r="F227" s="474">
        <v>26.85</v>
      </c>
      <c r="G227" s="470">
        <f>(D227*F227)</f>
        <v>16.11</v>
      </c>
      <c r="H227" s="454" t="s">
        <v>1346</v>
      </c>
    </row>
    <row r="228" spans="2:8">
      <c r="B228" s="449">
        <v>88247</v>
      </c>
      <c r="C228" s="452" t="s">
        <v>1348</v>
      </c>
      <c r="D228" s="449">
        <v>0.6</v>
      </c>
      <c r="E228" s="454" t="s">
        <v>476</v>
      </c>
      <c r="F228" s="474">
        <v>2.2999999999999998</v>
      </c>
      <c r="G228" s="470">
        <f>(D228*F228)</f>
        <v>1.38</v>
      </c>
      <c r="H228" s="454" t="s">
        <v>1346</v>
      </c>
    </row>
    <row r="229" spans="2:8">
      <c r="B229" s="460"/>
      <c r="C229" s="482"/>
      <c r="D229" s="632" t="s">
        <v>1360</v>
      </c>
      <c r="E229" s="633"/>
      <c r="F229" s="633"/>
      <c r="G229" s="634">
        <f>SUM(G226:G228)</f>
        <v>157.79000000000002</v>
      </c>
      <c r="H229" s="633"/>
    </row>
    <row r="230" spans="2:8">
      <c r="B230" s="463"/>
      <c r="C230" s="483"/>
      <c r="D230" s="463"/>
      <c r="E230" s="463"/>
      <c r="F230" s="464"/>
      <c r="G230" s="463"/>
      <c r="H230" s="465"/>
    </row>
    <row r="231" spans="2:8">
      <c r="B231" s="447" t="s">
        <v>1330</v>
      </c>
      <c r="C231" s="480" t="s">
        <v>1331</v>
      </c>
      <c r="D231" s="447" t="s">
        <v>1332</v>
      </c>
      <c r="E231" s="621" t="s">
        <v>1333</v>
      </c>
      <c r="F231" s="621"/>
      <c r="G231" s="621"/>
      <c r="H231" s="621"/>
    </row>
    <row r="232" spans="2:8">
      <c r="B232" s="468" t="s">
        <v>436</v>
      </c>
      <c r="C232" s="467" t="s">
        <v>1306</v>
      </c>
      <c r="D232" s="449" t="s">
        <v>213</v>
      </c>
      <c r="E232" s="635" t="s">
        <v>1415</v>
      </c>
      <c r="F232" s="622"/>
      <c r="G232" s="622"/>
      <c r="H232" s="622"/>
    </row>
    <row r="233" spans="2:8" ht="24">
      <c r="B233" s="450" t="s">
        <v>1335</v>
      </c>
      <c r="C233" s="481" t="s">
        <v>1336</v>
      </c>
      <c r="D233" s="450" t="s">
        <v>1337</v>
      </c>
      <c r="E233" s="450" t="s">
        <v>1332</v>
      </c>
      <c r="F233" s="469" t="s">
        <v>1338</v>
      </c>
      <c r="G233" s="450" t="s">
        <v>1339</v>
      </c>
      <c r="H233" s="450" t="s">
        <v>1340</v>
      </c>
    </row>
    <row r="234" spans="2:8">
      <c r="B234" s="473" t="s">
        <v>1419</v>
      </c>
      <c r="C234" s="452" t="s">
        <v>1420</v>
      </c>
      <c r="D234" s="449">
        <v>1</v>
      </c>
      <c r="E234" s="454" t="s">
        <v>213</v>
      </c>
      <c r="F234" s="474">
        <v>152.94999999999999</v>
      </c>
      <c r="G234" s="470">
        <f>(D234*F234)</f>
        <v>152.94999999999999</v>
      </c>
      <c r="H234" s="454" t="s">
        <v>1343</v>
      </c>
    </row>
    <row r="235" spans="2:8">
      <c r="B235" s="449">
        <v>88264</v>
      </c>
      <c r="C235" s="452" t="s">
        <v>1345</v>
      </c>
      <c r="D235" s="449">
        <v>0.6</v>
      </c>
      <c r="E235" s="454" t="s">
        <v>476</v>
      </c>
      <c r="F235" s="474">
        <v>15</v>
      </c>
      <c r="G235" s="470">
        <f>(D235*F235)</f>
        <v>9</v>
      </c>
      <c r="H235" s="454" t="s">
        <v>1346</v>
      </c>
    </row>
    <row r="236" spans="2:8">
      <c r="B236" s="449">
        <v>88247</v>
      </c>
      <c r="C236" s="452" t="s">
        <v>1348</v>
      </c>
      <c r="D236" s="449">
        <v>0.6</v>
      </c>
      <c r="E236" s="454" t="s">
        <v>476</v>
      </c>
      <c r="F236" s="474">
        <v>11.38</v>
      </c>
      <c r="G236" s="470">
        <f>(D236*F236)</f>
        <v>6.8280000000000003</v>
      </c>
      <c r="H236" s="454" t="s">
        <v>1346</v>
      </c>
    </row>
    <row r="237" spans="2:8">
      <c r="B237" s="460"/>
      <c r="C237" s="482"/>
      <c r="D237" s="632" t="s">
        <v>1360</v>
      </c>
      <c r="E237" s="633"/>
      <c r="F237" s="633"/>
      <c r="G237" s="634">
        <f>SUM(G234:G236)</f>
        <v>168.77799999999999</v>
      </c>
      <c r="H237" s="633"/>
    </row>
  </sheetData>
  <mergeCells count="63">
    <mergeCell ref="E231:H231"/>
    <mergeCell ref="E232:H232"/>
    <mergeCell ref="D237:F237"/>
    <mergeCell ref="G237:H237"/>
    <mergeCell ref="D40:G40"/>
    <mergeCell ref="D51:G51"/>
    <mergeCell ref="D221:F221"/>
    <mergeCell ref="G221:H221"/>
    <mergeCell ref="E223:H223"/>
    <mergeCell ref="E224:H224"/>
    <mergeCell ref="D229:F229"/>
    <mergeCell ref="G229:H229"/>
    <mergeCell ref="E199:H199"/>
    <mergeCell ref="E200:H200"/>
    <mergeCell ref="D212:F212"/>
    <mergeCell ref="G212:H212"/>
    <mergeCell ref="E214:H214"/>
    <mergeCell ref="E215:H215"/>
    <mergeCell ref="D184:F184"/>
    <mergeCell ref="G184:H184"/>
    <mergeCell ref="E186:H186"/>
    <mergeCell ref="E187:H187"/>
    <mergeCell ref="D197:F197"/>
    <mergeCell ref="G197:H197"/>
    <mergeCell ref="E160:H160"/>
    <mergeCell ref="E161:H161"/>
    <mergeCell ref="D171:F171"/>
    <mergeCell ref="G171:H171"/>
    <mergeCell ref="E173:H173"/>
    <mergeCell ref="E174:H174"/>
    <mergeCell ref="D145:F145"/>
    <mergeCell ref="G145:H145"/>
    <mergeCell ref="E147:H147"/>
    <mergeCell ref="E148:H148"/>
    <mergeCell ref="D158:F158"/>
    <mergeCell ref="G158:H158"/>
    <mergeCell ref="E125:H125"/>
    <mergeCell ref="E126:H126"/>
    <mergeCell ref="D136:F136"/>
    <mergeCell ref="G136:H136"/>
    <mergeCell ref="E138:H138"/>
    <mergeCell ref="E139:H139"/>
    <mergeCell ref="E116:H116"/>
    <mergeCell ref="E117:H117"/>
    <mergeCell ref="D123:F123"/>
    <mergeCell ref="G123:H123"/>
    <mergeCell ref="E103:H103"/>
    <mergeCell ref="E104:H104"/>
    <mergeCell ref="D114:F114"/>
    <mergeCell ref="G114:H114"/>
    <mergeCell ref="D82:G82"/>
    <mergeCell ref="B100:G100"/>
    <mergeCell ref="D62:G62"/>
    <mergeCell ref="C79:F79"/>
    <mergeCell ref="D2:G2"/>
    <mergeCell ref="D11:G11"/>
    <mergeCell ref="B18:F18"/>
    <mergeCell ref="D89:G89"/>
    <mergeCell ref="C99:F99"/>
    <mergeCell ref="D21:G21"/>
    <mergeCell ref="B25:F25"/>
    <mergeCell ref="D28:G28"/>
    <mergeCell ref="B37:F37"/>
  </mergeCells>
  <pageMargins left="0.51181102362204722" right="0.51181102362204722" top="0.78740157480314965" bottom="0.78740157480314965" header="0.31496062992125984" footer="0.31496062992125984"/>
  <pageSetup paperSize="9" scale="5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3:T608"/>
  <sheetViews>
    <sheetView topLeftCell="B481" zoomScale="115" zoomScaleNormal="115" workbookViewId="0">
      <selection activeCell="P596" sqref="P596"/>
    </sheetView>
  </sheetViews>
  <sheetFormatPr defaultRowHeight="12.75"/>
  <cols>
    <col min="3" max="3" width="9.140625" style="61"/>
    <col min="4" max="4" width="45.85546875" style="61" bestFit="1" customWidth="1"/>
    <col min="5" max="8" width="9.140625" style="61"/>
    <col min="9" max="9" width="12.85546875" style="61" bestFit="1" customWidth="1"/>
    <col min="10" max="10" width="13.28515625" style="61" customWidth="1"/>
    <col min="11" max="11" width="13.5703125" style="61" customWidth="1"/>
    <col min="12" max="12" width="11" style="61" bestFit="1" customWidth="1"/>
    <col min="13" max="13" width="9.140625" style="61"/>
    <col min="14" max="14" width="10.7109375" style="61" bestFit="1" customWidth="1"/>
    <col min="15" max="15" width="9.140625" style="61"/>
    <col min="16" max="16" width="11.42578125" style="61" bestFit="1" customWidth="1"/>
    <col min="17" max="17" width="9.140625" style="61"/>
    <col min="18" max="18" width="11.5703125" style="61" bestFit="1" customWidth="1"/>
  </cols>
  <sheetData>
    <row r="3" spans="3:18" ht="20.25">
      <c r="C3" s="672" t="s">
        <v>679</v>
      </c>
      <c r="D3" s="672"/>
      <c r="E3" s="672"/>
      <c r="F3" s="672"/>
      <c r="G3" s="672"/>
      <c r="H3" s="672"/>
      <c r="I3" s="672"/>
      <c r="J3" s="672"/>
      <c r="K3" s="672"/>
      <c r="L3" s="672"/>
      <c r="M3" s="672"/>
      <c r="N3" s="672"/>
      <c r="O3" s="672"/>
      <c r="P3" s="672"/>
      <c r="Q3" s="672"/>
      <c r="R3" s="672"/>
    </row>
    <row r="4" spans="3:18" ht="20.25">
      <c r="C4" s="673" t="s">
        <v>813</v>
      </c>
      <c r="D4" s="673"/>
      <c r="E4" s="673"/>
      <c r="F4" s="673"/>
      <c r="G4" s="673"/>
      <c r="H4" s="673"/>
      <c r="I4" s="673"/>
      <c r="J4" s="673"/>
      <c r="K4" s="673"/>
      <c r="L4" s="673"/>
      <c r="M4" s="673"/>
      <c r="N4" s="673"/>
      <c r="O4" s="673"/>
      <c r="P4" s="673"/>
      <c r="Q4" s="673"/>
      <c r="R4" s="673"/>
    </row>
    <row r="5" spans="3:18" ht="20.25">
      <c r="C5" s="168" t="s">
        <v>176</v>
      </c>
      <c r="D5" s="669" t="s">
        <v>680</v>
      </c>
      <c r="E5" s="670"/>
      <c r="F5" s="670"/>
      <c r="G5" s="670"/>
      <c r="H5" s="670"/>
      <c r="I5" s="670"/>
      <c r="J5" s="670"/>
      <c r="K5" s="670"/>
      <c r="L5" s="670"/>
      <c r="M5" s="670"/>
      <c r="N5" s="670"/>
      <c r="O5" s="670"/>
      <c r="P5" s="670"/>
      <c r="Q5" s="670"/>
      <c r="R5" s="671"/>
    </row>
    <row r="6" spans="3:18" ht="20.25">
      <c r="C6" s="302" t="s">
        <v>2</v>
      </c>
      <c r="D6" s="666" t="s">
        <v>629</v>
      </c>
      <c r="E6" s="667"/>
      <c r="F6" s="667"/>
      <c r="G6" s="667"/>
      <c r="H6" s="667"/>
      <c r="I6" s="667"/>
      <c r="J6" s="667"/>
      <c r="K6" s="668"/>
      <c r="L6" s="677" t="s">
        <v>623</v>
      </c>
      <c r="M6" s="677"/>
      <c r="N6" s="677"/>
      <c r="O6" s="159"/>
      <c r="P6" s="233">
        <f>R8</f>
        <v>815</v>
      </c>
      <c r="Q6" s="160"/>
      <c r="R6" s="161" t="s">
        <v>9</v>
      </c>
    </row>
    <row r="7" spans="3:18" ht="20.25">
      <c r="C7" s="303"/>
      <c r="D7" s="155" t="s">
        <v>462</v>
      </c>
      <c r="E7" s="303"/>
      <c r="F7" s="303"/>
      <c r="G7" s="303"/>
      <c r="H7" s="303"/>
      <c r="I7" s="303"/>
      <c r="J7" s="303"/>
      <c r="K7" s="303"/>
      <c r="L7" s="156"/>
      <c r="M7" s="152"/>
      <c r="N7" s="156"/>
      <c r="O7" s="152"/>
      <c r="P7" s="156"/>
      <c r="Q7" s="153"/>
      <c r="R7" s="157" t="s">
        <v>626</v>
      </c>
    </row>
    <row r="8" spans="3:18" ht="20.25">
      <c r="C8" s="303"/>
      <c r="D8" s="158" t="s">
        <v>662</v>
      </c>
      <c r="E8" s="303"/>
      <c r="F8" s="303"/>
      <c r="G8" s="303"/>
      <c r="H8" s="303"/>
      <c r="I8" s="303"/>
      <c r="J8" s="303"/>
      <c r="K8" s="303"/>
      <c r="L8" s="156"/>
      <c r="M8" s="152"/>
      <c r="N8" s="156"/>
      <c r="O8" s="152"/>
      <c r="P8" s="156"/>
      <c r="Q8" s="153"/>
      <c r="R8" s="331">
        <v>815</v>
      </c>
    </row>
    <row r="9" spans="3:18" ht="20.25">
      <c r="C9" s="303"/>
      <c r="D9" s="158" t="s">
        <v>681</v>
      </c>
      <c r="E9" s="303"/>
      <c r="F9" s="303"/>
      <c r="G9" s="303"/>
      <c r="H9" s="303"/>
      <c r="I9" s="303"/>
      <c r="J9" s="303"/>
      <c r="K9" s="303"/>
      <c r="L9" s="156"/>
      <c r="M9" s="152"/>
      <c r="N9" s="156"/>
      <c r="O9" s="152"/>
      <c r="P9" s="156"/>
      <c r="Q9" s="153"/>
      <c r="R9" s="331"/>
    </row>
    <row r="10" spans="3:18" ht="20.25">
      <c r="C10" s="303"/>
      <c r="D10" s="158"/>
      <c r="E10" s="303"/>
      <c r="F10" s="303"/>
      <c r="G10" s="303"/>
      <c r="H10" s="303"/>
      <c r="I10" s="303"/>
      <c r="J10" s="303"/>
      <c r="K10" s="303"/>
      <c r="L10" s="156"/>
      <c r="M10" s="152"/>
      <c r="N10" s="156"/>
      <c r="O10" s="152"/>
      <c r="P10" s="156"/>
      <c r="Q10" s="153"/>
      <c r="R10" s="157"/>
    </row>
    <row r="11" spans="3:18" ht="20.25">
      <c r="C11" s="304" t="s">
        <v>621</v>
      </c>
      <c r="D11" s="648" t="s">
        <v>634</v>
      </c>
      <c r="E11" s="649"/>
      <c r="F11" s="649"/>
      <c r="G11" s="649"/>
      <c r="H11" s="649"/>
      <c r="I11" s="649"/>
      <c r="J11" s="649"/>
      <c r="K11" s="650"/>
      <c r="L11" s="651" t="s">
        <v>623</v>
      </c>
      <c r="M11" s="652"/>
      <c r="N11" s="653"/>
      <c r="O11" s="152"/>
      <c r="P11" s="153">
        <f>SUM(R13:R15)</f>
        <v>676</v>
      </c>
      <c r="Q11" s="153"/>
      <c r="R11" s="154" t="s">
        <v>9</v>
      </c>
    </row>
    <row r="12" spans="3:18" ht="20.25">
      <c r="C12" s="304"/>
      <c r="D12" s="155" t="s">
        <v>462</v>
      </c>
      <c r="E12" s="303"/>
      <c r="F12" s="303"/>
      <c r="G12" s="303"/>
      <c r="H12" s="303"/>
      <c r="I12" s="303"/>
      <c r="J12" s="303"/>
      <c r="K12" s="332"/>
      <c r="L12" s="156"/>
      <c r="M12" s="152"/>
      <c r="N12" s="156"/>
      <c r="O12" s="152"/>
      <c r="P12" s="156"/>
      <c r="Q12" s="153"/>
      <c r="R12" s="157" t="s">
        <v>626</v>
      </c>
    </row>
    <row r="13" spans="3:18" ht="20.25">
      <c r="C13" s="303"/>
      <c r="D13" s="158" t="s">
        <v>663</v>
      </c>
      <c r="E13" s="303"/>
      <c r="F13" s="303"/>
      <c r="G13" s="303"/>
      <c r="H13" s="303"/>
      <c r="I13" s="303"/>
      <c r="J13" s="303"/>
      <c r="K13" s="162"/>
      <c r="L13" s="163"/>
      <c r="M13" s="164"/>
      <c r="N13" s="165"/>
      <c r="O13" s="303"/>
      <c r="P13" s="303"/>
      <c r="Q13" s="303"/>
      <c r="R13" s="333">
        <v>600</v>
      </c>
    </row>
    <row r="14" spans="3:18" ht="20.25">
      <c r="C14" s="303"/>
      <c r="D14" s="158" t="s">
        <v>669</v>
      </c>
      <c r="E14" s="303"/>
      <c r="F14" s="303"/>
      <c r="G14" s="303"/>
      <c r="H14" s="303"/>
      <c r="I14" s="303"/>
      <c r="J14" s="303"/>
      <c r="K14" s="162"/>
      <c r="L14" s="163"/>
      <c r="M14" s="164"/>
      <c r="N14" s="165"/>
      <c r="O14" s="303"/>
      <c r="P14" s="303"/>
      <c r="Q14" s="303"/>
      <c r="R14" s="333">
        <v>55</v>
      </c>
    </row>
    <row r="15" spans="3:18" ht="20.25">
      <c r="C15" s="303"/>
      <c r="D15" s="158" t="s">
        <v>1112</v>
      </c>
      <c r="E15" s="303"/>
      <c r="F15" s="303"/>
      <c r="G15" s="303"/>
      <c r="H15" s="303"/>
      <c r="I15" s="303"/>
      <c r="J15" s="303"/>
      <c r="K15" s="162"/>
      <c r="L15" s="163"/>
      <c r="M15" s="164"/>
      <c r="N15" s="165"/>
      <c r="O15" s="303"/>
      <c r="P15" s="303"/>
      <c r="Q15" s="303"/>
      <c r="R15" s="333">
        <v>21</v>
      </c>
    </row>
    <row r="16" spans="3:18" ht="20.25">
      <c r="C16" s="303"/>
      <c r="D16" s="158"/>
      <c r="E16" s="303"/>
      <c r="F16" s="303"/>
      <c r="G16" s="303"/>
      <c r="H16" s="303"/>
      <c r="I16" s="303"/>
      <c r="J16" s="303"/>
      <c r="K16" s="162"/>
      <c r="L16" s="163"/>
      <c r="M16" s="164"/>
      <c r="N16" s="165"/>
      <c r="O16" s="303"/>
      <c r="P16" s="303"/>
      <c r="Q16" s="303"/>
      <c r="R16" s="333"/>
    </row>
    <row r="17" spans="3:18" ht="20.25">
      <c r="C17" s="304" t="s">
        <v>747</v>
      </c>
      <c r="D17" s="648" t="s">
        <v>690</v>
      </c>
      <c r="E17" s="649"/>
      <c r="F17" s="649"/>
      <c r="G17" s="649"/>
      <c r="H17" s="649"/>
      <c r="I17" s="649"/>
      <c r="J17" s="649"/>
      <c r="K17" s="650"/>
      <c r="L17" s="651" t="s">
        <v>623</v>
      </c>
      <c r="M17" s="652"/>
      <c r="N17" s="653"/>
      <c r="O17" s="152"/>
      <c r="P17" s="153">
        <f>SUM(R19:R19)</f>
        <v>55</v>
      </c>
      <c r="Q17" s="153"/>
      <c r="R17" s="154" t="s">
        <v>9</v>
      </c>
    </row>
    <row r="18" spans="3:18" ht="20.25">
      <c r="C18" s="304"/>
      <c r="D18" s="155" t="s">
        <v>462</v>
      </c>
      <c r="E18" s="303"/>
      <c r="F18" s="303"/>
      <c r="G18" s="303"/>
      <c r="H18" s="303"/>
      <c r="I18" s="303"/>
      <c r="J18" s="303"/>
      <c r="K18" s="332"/>
      <c r="L18" s="156"/>
      <c r="M18" s="152"/>
      <c r="N18" s="156"/>
      <c r="O18" s="152"/>
      <c r="P18" s="156"/>
      <c r="Q18" s="153"/>
      <c r="R18" s="157" t="s">
        <v>626</v>
      </c>
    </row>
    <row r="19" spans="3:18" ht="20.25">
      <c r="C19" s="303"/>
      <c r="D19" s="158" t="s">
        <v>669</v>
      </c>
      <c r="E19" s="303"/>
      <c r="F19" s="303"/>
      <c r="G19" s="303"/>
      <c r="H19" s="303"/>
      <c r="I19" s="303"/>
      <c r="J19" s="303"/>
      <c r="K19" s="162"/>
      <c r="L19" s="163"/>
      <c r="M19" s="164"/>
      <c r="N19" s="165"/>
      <c r="O19" s="303"/>
      <c r="P19" s="303"/>
      <c r="Q19" s="303"/>
      <c r="R19" s="333">
        <v>55</v>
      </c>
    </row>
    <row r="20" spans="3:18" ht="20.25">
      <c r="C20" s="303"/>
      <c r="D20" s="158"/>
      <c r="E20" s="303"/>
      <c r="F20" s="303"/>
      <c r="G20" s="303"/>
      <c r="H20" s="303"/>
      <c r="I20" s="303"/>
      <c r="J20" s="303"/>
      <c r="K20" s="162"/>
      <c r="L20" s="163"/>
      <c r="M20" s="164"/>
      <c r="N20" s="165"/>
      <c r="O20" s="303"/>
      <c r="P20" s="303"/>
      <c r="Q20" s="303"/>
      <c r="R20" s="333"/>
    </row>
    <row r="21" spans="3:18" ht="20.25">
      <c r="C21" s="304" t="s">
        <v>748</v>
      </c>
      <c r="D21" s="648" t="s">
        <v>666</v>
      </c>
      <c r="E21" s="649"/>
      <c r="F21" s="649"/>
      <c r="G21" s="649"/>
      <c r="H21" s="649"/>
      <c r="I21" s="649"/>
      <c r="J21" s="649"/>
      <c r="K21" s="650"/>
      <c r="L21" s="651" t="s">
        <v>623</v>
      </c>
      <c r="M21" s="652"/>
      <c r="N21" s="653"/>
      <c r="O21" s="152"/>
      <c r="P21" s="153">
        <f>SUM(R23:R24)</f>
        <v>129.5</v>
      </c>
      <c r="Q21" s="153"/>
      <c r="R21" s="154" t="s">
        <v>9</v>
      </c>
    </row>
    <row r="22" spans="3:18" ht="20.25">
      <c r="C22" s="303"/>
      <c r="D22" s="155" t="s">
        <v>462</v>
      </c>
      <c r="E22" s="303"/>
      <c r="F22" s="303"/>
      <c r="G22" s="303"/>
      <c r="H22" s="303"/>
      <c r="I22" s="303"/>
      <c r="J22" s="303"/>
      <c r="K22" s="303"/>
      <c r="L22" s="156"/>
      <c r="M22" s="152"/>
      <c r="N22" s="156" t="s">
        <v>625</v>
      </c>
      <c r="O22" s="152"/>
      <c r="P22" s="156" t="s">
        <v>637</v>
      </c>
      <c r="Q22" s="153"/>
      <c r="R22" s="157" t="s">
        <v>626</v>
      </c>
    </row>
    <row r="23" spans="3:18" ht="20.25">
      <c r="C23" s="303"/>
      <c r="D23" s="158" t="s">
        <v>669</v>
      </c>
      <c r="E23" s="303"/>
      <c r="F23" s="303"/>
      <c r="G23" s="303"/>
      <c r="H23" s="303"/>
      <c r="I23" s="303"/>
      <c r="J23" s="303"/>
      <c r="K23" s="162"/>
      <c r="L23" s="163"/>
      <c r="M23" s="164"/>
      <c r="N23" s="165">
        <f>28+7.5</f>
        <v>35.5</v>
      </c>
      <c r="O23" s="303"/>
      <c r="P23" s="334">
        <v>3</v>
      </c>
      <c r="Q23" s="303"/>
      <c r="R23" s="333">
        <f>N23*P23</f>
        <v>106.5</v>
      </c>
    </row>
    <row r="24" spans="3:18" ht="20.25">
      <c r="C24" s="303"/>
      <c r="D24" s="158" t="s">
        <v>670</v>
      </c>
      <c r="E24" s="303"/>
      <c r="F24" s="303"/>
      <c r="G24" s="303"/>
      <c r="H24" s="303"/>
      <c r="I24" s="303"/>
      <c r="J24" s="303"/>
      <c r="K24" s="162"/>
      <c r="L24" s="163"/>
      <c r="M24" s="164"/>
      <c r="N24" s="165">
        <f>23*2</f>
        <v>46</v>
      </c>
      <c r="O24" s="303"/>
      <c r="P24" s="334">
        <v>0.5</v>
      </c>
      <c r="Q24" s="303"/>
      <c r="R24" s="333">
        <f>N24*P24</f>
        <v>23</v>
      </c>
    </row>
    <row r="25" spans="3:18" ht="20.25">
      <c r="C25" s="303"/>
      <c r="D25" s="158"/>
      <c r="E25" s="303"/>
      <c r="F25" s="303"/>
      <c r="G25" s="303"/>
      <c r="H25" s="303"/>
      <c r="I25" s="303"/>
      <c r="J25" s="303"/>
      <c r="K25" s="162"/>
      <c r="L25" s="163"/>
      <c r="M25" s="164"/>
      <c r="N25" s="165"/>
      <c r="O25" s="303"/>
      <c r="P25" s="303"/>
      <c r="Q25" s="303"/>
      <c r="R25" s="333"/>
    </row>
    <row r="26" spans="3:18" ht="20.25">
      <c r="C26" s="304" t="s">
        <v>628</v>
      </c>
      <c r="D26" s="648" t="s">
        <v>691</v>
      </c>
      <c r="E26" s="649"/>
      <c r="F26" s="649"/>
      <c r="G26" s="649"/>
      <c r="H26" s="649"/>
      <c r="I26" s="649"/>
      <c r="J26" s="649"/>
      <c r="K26" s="650"/>
      <c r="L26" s="651" t="s">
        <v>623</v>
      </c>
      <c r="M26" s="652"/>
      <c r="N26" s="653"/>
      <c r="O26" s="152"/>
      <c r="P26" s="153">
        <f>SUM(R28)</f>
        <v>106.5</v>
      </c>
      <c r="Q26" s="153"/>
      <c r="R26" s="154" t="s">
        <v>9</v>
      </c>
    </row>
    <row r="27" spans="3:18" ht="20.25">
      <c r="C27" s="303"/>
      <c r="D27" s="155" t="s">
        <v>462</v>
      </c>
      <c r="E27" s="303"/>
      <c r="F27" s="303"/>
      <c r="G27" s="303"/>
      <c r="H27" s="303"/>
      <c r="I27" s="303"/>
      <c r="J27" s="303"/>
      <c r="K27" s="303"/>
      <c r="L27" s="156"/>
      <c r="M27" s="152"/>
      <c r="N27" s="156" t="s">
        <v>625</v>
      </c>
      <c r="O27" s="152"/>
      <c r="P27" s="156" t="s">
        <v>637</v>
      </c>
      <c r="Q27" s="153"/>
      <c r="R27" s="157" t="s">
        <v>626</v>
      </c>
    </row>
    <row r="28" spans="3:18" ht="20.25">
      <c r="C28" s="303"/>
      <c r="D28" s="158" t="s">
        <v>669</v>
      </c>
      <c r="E28" s="303"/>
      <c r="F28" s="303"/>
      <c r="G28" s="303"/>
      <c r="H28" s="303"/>
      <c r="I28" s="303"/>
      <c r="J28" s="303"/>
      <c r="K28" s="162"/>
      <c r="L28" s="163"/>
      <c r="M28" s="164"/>
      <c r="N28" s="165">
        <v>35.5</v>
      </c>
      <c r="O28" s="303"/>
      <c r="P28" s="334">
        <v>3</v>
      </c>
      <c r="Q28" s="303"/>
      <c r="R28" s="333">
        <f>N28*P28</f>
        <v>106.5</v>
      </c>
    </row>
    <row r="29" spans="3:18" ht="20.25">
      <c r="C29" s="303"/>
      <c r="D29" s="158"/>
      <c r="E29" s="303"/>
      <c r="F29" s="303"/>
      <c r="G29" s="303"/>
      <c r="H29" s="303"/>
      <c r="I29" s="303"/>
      <c r="J29" s="303"/>
      <c r="K29" s="162"/>
      <c r="L29" s="163"/>
      <c r="M29" s="164"/>
      <c r="N29" s="165"/>
      <c r="O29" s="303"/>
      <c r="P29" s="303"/>
      <c r="Q29" s="303"/>
      <c r="R29" s="333"/>
    </row>
    <row r="30" spans="3:18" ht="20.25">
      <c r="C30" s="304" t="s">
        <v>630</v>
      </c>
      <c r="D30" s="648" t="s">
        <v>664</v>
      </c>
      <c r="E30" s="649"/>
      <c r="F30" s="649"/>
      <c r="G30" s="649"/>
      <c r="H30" s="649"/>
      <c r="I30" s="649"/>
      <c r="J30" s="649"/>
      <c r="K30" s="650"/>
      <c r="L30" s="651" t="s">
        <v>623</v>
      </c>
      <c r="M30" s="652"/>
      <c r="N30" s="653"/>
      <c r="O30" s="152"/>
      <c r="P30" s="153">
        <f>SUM(R32)</f>
        <v>213</v>
      </c>
      <c r="Q30" s="153"/>
      <c r="R30" s="154" t="s">
        <v>9</v>
      </c>
    </row>
    <row r="31" spans="3:18" ht="20.25">
      <c r="C31" s="303"/>
      <c r="D31" s="155" t="s">
        <v>462</v>
      </c>
      <c r="E31" s="303"/>
      <c r="F31" s="303"/>
      <c r="G31" s="303"/>
      <c r="H31" s="303"/>
      <c r="I31" s="303"/>
      <c r="J31" s="303"/>
      <c r="K31" s="303"/>
      <c r="L31" s="156"/>
      <c r="M31" s="152"/>
      <c r="N31" s="156"/>
      <c r="O31" s="152"/>
      <c r="P31" s="156"/>
      <c r="Q31" s="153"/>
      <c r="R31" s="157" t="s">
        <v>626</v>
      </c>
    </row>
    <row r="32" spans="3:18" ht="20.25">
      <c r="C32" s="303"/>
      <c r="D32" s="158" t="s">
        <v>669</v>
      </c>
      <c r="E32" s="303"/>
      <c r="F32" s="303"/>
      <c r="G32" s="303"/>
      <c r="H32" s="303"/>
      <c r="I32" s="303"/>
      <c r="J32" s="303"/>
      <c r="K32" s="162"/>
      <c r="L32" s="163"/>
      <c r="M32" s="164"/>
      <c r="N32" s="165"/>
      <c r="O32" s="303"/>
      <c r="P32" s="334"/>
      <c r="Q32" s="303"/>
      <c r="R32" s="333">
        <f>P26*2</f>
        <v>213</v>
      </c>
    </row>
    <row r="33" spans="3:18" ht="20.25">
      <c r="C33" s="303"/>
      <c r="D33" s="158"/>
      <c r="E33" s="303"/>
      <c r="F33" s="303"/>
      <c r="G33" s="303"/>
      <c r="H33" s="303"/>
      <c r="I33" s="303"/>
      <c r="J33" s="303"/>
      <c r="K33" s="162"/>
      <c r="L33" s="163"/>
      <c r="M33" s="164"/>
      <c r="N33" s="165"/>
      <c r="O33" s="303"/>
      <c r="P33" s="303"/>
      <c r="Q33" s="303"/>
      <c r="R33" s="333"/>
    </row>
    <row r="34" spans="3:18" ht="20.25">
      <c r="C34" s="304" t="s">
        <v>749</v>
      </c>
      <c r="D34" s="648" t="s">
        <v>668</v>
      </c>
      <c r="E34" s="649"/>
      <c r="F34" s="649"/>
      <c r="G34" s="649"/>
      <c r="H34" s="649"/>
      <c r="I34" s="649"/>
      <c r="J34" s="649"/>
      <c r="K34" s="650"/>
      <c r="L34" s="651" t="s">
        <v>623</v>
      </c>
      <c r="M34" s="652"/>
      <c r="N34" s="653"/>
      <c r="O34" s="152"/>
      <c r="P34" s="153">
        <f>SUM(R36:R38)</f>
        <v>4.7084999999999999</v>
      </c>
      <c r="Q34" s="153"/>
      <c r="R34" s="154" t="s">
        <v>61</v>
      </c>
    </row>
    <row r="35" spans="3:18" ht="20.25">
      <c r="C35" s="303"/>
      <c r="D35" s="155" t="s">
        <v>462</v>
      </c>
      <c r="E35" s="303"/>
      <c r="F35" s="303"/>
      <c r="G35" s="303"/>
      <c r="H35" s="303"/>
      <c r="I35" s="303"/>
      <c r="J35" s="303"/>
      <c r="K35" s="303"/>
      <c r="L35" s="156"/>
      <c r="M35" s="152"/>
      <c r="N35" s="156"/>
      <c r="O35" s="152"/>
      <c r="P35" s="156"/>
      <c r="Q35" s="153"/>
      <c r="R35" s="157" t="s">
        <v>1065</v>
      </c>
    </row>
    <row r="36" spans="3:18" ht="20.25">
      <c r="C36" s="303"/>
      <c r="D36" s="158" t="s">
        <v>670</v>
      </c>
      <c r="E36" s="303"/>
      <c r="F36" s="303"/>
      <c r="G36" s="303"/>
      <c r="H36" s="303"/>
      <c r="I36" s="303"/>
      <c r="J36" s="303"/>
      <c r="K36" s="162"/>
      <c r="L36" s="163"/>
      <c r="M36" s="164"/>
      <c r="N36" s="165"/>
      <c r="O36" s="303"/>
      <c r="P36" s="334"/>
      <c r="Q36" s="303"/>
      <c r="R36" s="333">
        <f>0.15*(9.47+9.47)</f>
        <v>2.8410000000000002</v>
      </c>
    </row>
    <row r="37" spans="3:18" ht="20.25">
      <c r="C37" s="303"/>
      <c r="D37" s="158" t="s">
        <v>671</v>
      </c>
      <c r="E37" s="303"/>
      <c r="F37" s="303"/>
      <c r="G37" s="303"/>
      <c r="H37" s="303"/>
      <c r="I37" s="303"/>
      <c r="J37" s="303"/>
      <c r="K37" s="162"/>
      <c r="L37" s="163"/>
      <c r="M37" s="164"/>
      <c r="N37" s="165"/>
      <c r="O37" s="303"/>
      <c r="P37" s="334"/>
      <c r="Q37" s="303"/>
      <c r="R37" s="333">
        <f>6*0.045</f>
        <v>0.27</v>
      </c>
    </row>
    <row r="38" spans="3:18" ht="20.25">
      <c r="C38" s="303"/>
      <c r="D38" s="158" t="s">
        <v>672</v>
      </c>
      <c r="E38" s="303"/>
      <c r="F38" s="303"/>
      <c r="G38" s="303"/>
      <c r="H38" s="303"/>
      <c r="I38" s="303"/>
      <c r="J38" s="303"/>
      <c r="K38" s="162"/>
      <c r="L38" s="163"/>
      <c r="M38" s="164"/>
      <c r="N38" s="165"/>
      <c r="O38" s="303"/>
      <c r="P38" s="334"/>
      <c r="Q38" s="303"/>
      <c r="R38" s="333">
        <f>35.5*0.045</f>
        <v>1.5974999999999999</v>
      </c>
    </row>
    <row r="39" spans="3:18" ht="20.25">
      <c r="C39" s="303"/>
      <c r="D39" s="158"/>
      <c r="E39" s="303"/>
      <c r="F39" s="303"/>
      <c r="G39" s="303"/>
      <c r="H39" s="303"/>
      <c r="I39" s="303"/>
      <c r="J39" s="303"/>
      <c r="K39" s="162"/>
      <c r="L39" s="163"/>
      <c r="M39" s="164"/>
      <c r="N39" s="165"/>
      <c r="O39" s="303"/>
      <c r="P39" s="303"/>
      <c r="Q39" s="303"/>
      <c r="R39" s="333"/>
    </row>
    <row r="40" spans="3:18" ht="20.25">
      <c r="C40" s="304" t="s">
        <v>633</v>
      </c>
      <c r="D40" s="648" t="s">
        <v>673</v>
      </c>
      <c r="E40" s="649"/>
      <c r="F40" s="649"/>
      <c r="G40" s="649"/>
      <c r="H40" s="649"/>
      <c r="I40" s="649"/>
      <c r="J40" s="649"/>
      <c r="K40" s="650"/>
      <c r="L40" s="651" t="s">
        <v>623</v>
      </c>
      <c r="M40" s="652"/>
      <c r="N40" s="653"/>
      <c r="O40" s="152"/>
      <c r="P40" s="153">
        <f>R42</f>
        <v>55</v>
      </c>
      <c r="Q40" s="153"/>
      <c r="R40" s="154" t="s">
        <v>9</v>
      </c>
    </row>
    <row r="41" spans="3:18" ht="20.25">
      <c r="C41" s="303"/>
      <c r="D41" s="155" t="s">
        <v>462</v>
      </c>
      <c r="E41" s="303"/>
      <c r="F41" s="303"/>
      <c r="G41" s="303"/>
      <c r="H41" s="303"/>
      <c r="I41" s="303"/>
      <c r="J41" s="303"/>
      <c r="K41" s="303"/>
      <c r="L41" s="156"/>
      <c r="M41" s="152"/>
      <c r="N41" s="156"/>
      <c r="O41" s="152"/>
      <c r="P41" s="156"/>
      <c r="Q41" s="153"/>
      <c r="R41" s="157" t="s">
        <v>626</v>
      </c>
    </row>
    <row r="42" spans="3:18" ht="20.25">
      <c r="C42" s="303"/>
      <c r="D42" s="158" t="s">
        <v>674</v>
      </c>
      <c r="E42" s="303"/>
      <c r="F42" s="303"/>
      <c r="G42" s="303"/>
      <c r="H42" s="303"/>
      <c r="I42" s="303"/>
      <c r="J42" s="303"/>
      <c r="K42" s="162"/>
      <c r="L42" s="163"/>
      <c r="M42" s="164"/>
      <c r="N42" s="165"/>
      <c r="O42" s="303"/>
      <c r="P42" s="334"/>
      <c r="Q42" s="303"/>
      <c r="R42" s="333">
        <v>55</v>
      </c>
    </row>
    <row r="43" spans="3:18" ht="20.25">
      <c r="C43" s="303"/>
      <c r="D43" s="158"/>
      <c r="E43" s="303"/>
      <c r="F43" s="303"/>
      <c r="G43" s="303"/>
      <c r="H43" s="303"/>
      <c r="I43" s="303"/>
      <c r="J43" s="303"/>
      <c r="K43" s="162"/>
      <c r="L43" s="163"/>
      <c r="M43" s="164"/>
      <c r="N43" s="165"/>
      <c r="O43" s="303"/>
      <c r="P43" s="303"/>
      <c r="Q43" s="303"/>
      <c r="R43" s="333"/>
    </row>
    <row r="44" spans="3:18" ht="20.25">
      <c r="C44" s="304" t="s">
        <v>750</v>
      </c>
      <c r="D44" s="648" t="s">
        <v>675</v>
      </c>
      <c r="E44" s="649"/>
      <c r="F44" s="649"/>
      <c r="G44" s="649"/>
      <c r="H44" s="649"/>
      <c r="I44" s="649"/>
      <c r="J44" s="649"/>
      <c r="K44" s="650"/>
      <c r="L44" s="651" t="s">
        <v>623</v>
      </c>
      <c r="M44" s="652"/>
      <c r="N44" s="653"/>
      <c r="O44" s="152"/>
      <c r="P44" s="153">
        <f>R46</f>
        <v>55</v>
      </c>
      <c r="Q44" s="153"/>
      <c r="R44" s="154" t="s">
        <v>9</v>
      </c>
    </row>
    <row r="45" spans="3:18" ht="20.25">
      <c r="C45" s="303"/>
      <c r="D45" s="155" t="s">
        <v>462</v>
      </c>
      <c r="E45" s="303"/>
      <c r="F45" s="303"/>
      <c r="G45" s="303"/>
      <c r="H45" s="303"/>
      <c r="I45" s="303"/>
      <c r="J45" s="303"/>
      <c r="K45" s="303"/>
      <c r="L45" s="156"/>
      <c r="M45" s="152"/>
      <c r="N45" s="156"/>
      <c r="O45" s="152"/>
      <c r="P45" s="156"/>
      <c r="Q45" s="153"/>
      <c r="R45" s="157" t="s">
        <v>626</v>
      </c>
    </row>
    <row r="46" spans="3:18" ht="20.25">
      <c r="C46" s="303"/>
      <c r="D46" s="158" t="s">
        <v>674</v>
      </c>
      <c r="E46" s="303"/>
      <c r="F46" s="303"/>
      <c r="G46" s="303"/>
      <c r="H46" s="303"/>
      <c r="I46" s="303"/>
      <c r="J46" s="303"/>
      <c r="K46" s="162"/>
      <c r="L46" s="163"/>
      <c r="M46" s="164"/>
      <c r="N46" s="165"/>
      <c r="O46" s="303"/>
      <c r="P46" s="334"/>
      <c r="Q46" s="303"/>
      <c r="R46" s="333">
        <v>55</v>
      </c>
    </row>
    <row r="47" spans="3:18" ht="20.25">
      <c r="C47" s="303"/>
      <c r="D47" s="158"/>
      <c r="E47" s="303"/>
      <c r="F47" s="303"/>
      <c r="G47" s="303"/>
      <c r="H47" s="303"/>
      <c r="I47" s="303"/>
      <c r="J47" s="303"/>
      <c r="K47" s="162"/>
      <c r="L47" s="163"/>
      <c r="M47" s="164"/>
      <c r="N47" s="165"/>
      <c r="O47" s="303"/>
      <c r="P47" s="303"/>
      <c r="Q47" s="303"/>
      <c r="R47" s="333"/>
    </row>
    <row r="48" spans="3:18" ht="20.25">
      <c r="C48" s="304" t="s">
        <v>751</v>
      </c>
      <c r="D48" s="648" t="s">
        <v>676</v>
      </c>
      <c r="E48" s="649"/>
      <c r="F48" s="649"/>
      <c r="G48" s="649"/>
      <c r="H48" s="649"/>
      <c r="I48" s="649"/>
      <c r="J48" s="649"/>
      <c r="K48" s="650"/>
      <c r="L48" s="651" t="s">
        <v>623</v>
      </c>
      <c r="M48" s="652"/>
      <c r="N48" s="653"/>
      <c r="O48" s="152"/>
      <c r="P48" s="153">
        <f>R50</f>
        <v>25.2</v>
      </c>
      <c r="Q48" s="153"/>
      <c r="R48" s="154" t="s">
        <v>9</v>
      </c>
    </row>
    <row r="49" spans="2:18" ht="20.25">
      <c r="C49" s="303"/>
      <c r="D49" s="155" t="s">
        <v>462</v>
      </c>
      <c r="E49" s="303"/>
      <c r="F49" s="303"/>
      <c r="G49" s="303"/>
      <c r="H49" s="303"/>
      <c r="I49" s="303"/>
      <c r="J49" s="303"/>
      <c r="K49" s="303"/>
      <c r="L49" s="156"/>
      <c r="M49" s="152"/>
      <c r="N49" s="156" t="s">
        <v>625</v>
      </c>
      <c r="O49" s="152"/>
      <c r="P49" s="156" t="s">
        <v>637</v>
      </c>
      <c r="Q49" s="153"/>
      <c r="R49" s="157" t="s">
        <v>626</v>
      </c>
    </row>
    <row r="50" spans="2:18" ht="20.25">
      <c r="C50" s="303"/>
      <c r="D50" s="158" t="s">
        <v>677</v>
      </c>
      <c r="E50" s="303"/>
      <c r="F50" s="303"/>
      <c r="G50" s="303"/>
      <c r="H50" s="303"/>
      <c r="I50" s="303"/>
      <c r="J50" s="303"/>
      <c r="K50" s="162"/>
      <c r="L50" s="163"/>
      <c r="M50" s="164"/>
      <c r="N50" s="165">
        <v>14</v>
      </c>
      <c r="O50" s="303"/>
      <c r="P50" s="334">
        <v>1.8</v>
      </c>
      <c r="Q50" s="303"/>
      <c r="R50" s="333">
        <f>N50*P50</f>
        <v>25.2</v>
      </c>
    </row>
    <row r="51" spans="2:18" ht="20.25">
      <c r="C51" s="303"/>
      <c r="D51" s="158"/>
      <c r="E51" s="303"/>
      <c r="F51" s="303"/>
      <c r="G51" s="303"/>
      <c r="H51" s="303"/>
      <c r="I51" s="303"/>
      <c r="J51" s="303"/>
      <c r="K51" s="162"/>
      <c r="L51" s="163"/>
      <c r="M51" s="164"/>
      <c r="N51" s="165"/>
      <c r="O51" s="303"/>
      <c r="P51" s="303"/>
      <c r="Q51" s="303"/>
      <c r="R51" s="333"/>
    </row>
    <row r="52" spans="2:18" ht="20.25">
      <c r="C52" s="304" t="s">
        <v>635</v>
      </c>
      <c r="D52" s="648" t="s">
        <v>1452</v>
      </c>
      <c r="E52" s="649"/>
      <c r="F52" s="649"/>
      <c r="G52" s="649"/>
      <c r="H52" s="649"/>
      <c r="I52" s="649"/>
      <c r="J52" s="649"/>
      <c r="K52" s="650"/>
      <c r="L52" s="651" t="s">
        <v>623</v>
      </c>
      <c r="M52" s="652"/>
      <c r="N52" s="653"/>
      <c r="O52" s="152"/>
      <c r="P52" s="153">
        <f>R54</f>
        <v>5.12</v>
      </c>
      <c r="Q52" s="153"/>
      <c r="R52" s="154" t="s">
        <v>9</v>
      </c>
    </row>
    <row r="53" spans="2:18" ht="20.25">
      <c r="C53" s="303"/>
      <c r="D53" s="155" t="s">
        <v>462</v>
      </c>
      <c r="E53" s="303"/>
      <c r="F53" s="303"/>
      <c r="G53" s="303"/>
      <c r="H53" s="303"/>
      <c r="I53" s="303"/>
      <c r="J53" s="303"/>
      <c r="K53" s="303"/>
      <c r="L53" s="156" t="s">
        <v>638</v>
      </c>
      <c r="M53" s="152"/>
      <c r="N53" s="156"/>
      <c r="O53" s="152"/>
      <c r="P53" s="157" t="s">
        <v>626</v>
      </c>
      <c r="Q53" s="153"/>
      <c r="R53" s="157" t="s">
        <v>626</v>
      </c>
    </row>
    <row r="54" spans="2:18" ht="20.25">
      <c r="C54" s="303"/>
      <c r="D54" s="158" t="s">
        <v>677</v>
      </c>
      <c r="E54" s="303"/>
      <c r="F54" s="303"/>
      <c r="G54" s="303"/>
      <c r="H54" s="303"/>
      <c r="I54" s="303"/>
      <c r="J54" s="303"/>
      <c r="K54" s="162"/>
      <c r="L54" s="163">
        <v>2</v>
      </c>
      <c r="M54" s="164"/>
      <c r="N54" s="165"/>
      <c r="O54" s="303"/>
      <c r="P54" s="334">
        <v>2.56</v>
      </c>
      <c r="Q54" s="303"/>
      <c r="R54" s="333">
        <f>L54*P54</f>
        <v>5.12</v>
      </c>
    </row>
    <row r="55" spans="2:18" ht="20.25">
      <c r="C55" s="303"/>
      <c r="D55" s="158"/>
      <c r="E55" s="303"/>
      <c r="F55" s="303"/>
      <c r="G55" s="303"/>
      <c r="H55" s="303"/>
      <c r="I55" s="303"/>
      <c r="J55" s="303"/>
      <c r="K55" s="162"/>
      <c r="L55" s="163"/>
      <c r="M55" s="164"/>
      <c r="N55" s="165"/>
      <c r="O55" s="303"/>
      <c r="P55" s="303"/>
      <c r="Q55" s="303"/>
      <c r="R55" s="333"/>
    </row>
    <row r="56" spans="2:18" ht="20.25">
      <c r="C56" s="304" t="s">
        <v>752</v>
      </c>
      <c r="D56" s="648" t="s">
        <v>688</v>
      </c>
      <c r="E56" s="649"/>
      <c r="F56" s="649"/>
      <c r="G56" s="649"/>
      <c r="H56" s="649"/>
      <c r="I56" s="649"/>
      <c r="J56" s="649"/>
      <c r="K56" s="650"/>
      <c r="L56" s="651" t="s">
        <v>623</v>
      </c>
      <c r="M56" s="652"/>
      <c r="N56" s="653"/>
      <c r="O56" s="152"/>
      <c r="P56" s="153">
        <f>R58</f>
        <v>120</v>
      </c>
      <c r="Q56" s="153"/>
      <c r="R56" s="154" t="s">
        <v>11</v>
      </c>
    </row>
    <row r="57" spans="2:18" ht="20.25">
      <c r="C57" s="303"/>
      <c r="D57" s="155" t="s">
        <v>462</v>
      </c>
      <c r="E57" s="303"/>
      <c r="F57" s="303"/>
      <c r="G57" s="303"/>
      <c r="H57" s="303"/>
      <c r="I57" s="303"/>
      <c r="J57" s="303"/>
      <c r="K57" s="303"/>
      <c r="L57" s="156"/>
      <c r="M57" s="152"/>
      <c r="N57" s="156"/>
      <c r="O57" s="152"/>
      <c r="P57" s="156"/>
      <c r="Q57" s="153"/>
      <c r="R57" s="157" t="s">
        <v>11</v>
      </c>
    </row>
    <row r="58" spans="2:18" ht="20.25">
      <c r="C58" s="303"/>
      <c r="D58" s="158" t="s">
        <v>689</v>
      </c>
      <c r="E58" s="303"/>
      <c r="F58" s="303"/>
      <c r="G58" s="303"/>
      <c r="H58" s="303"/>
      <c r="I58" s="303"/>
      <c r="J58" s="303"/>
      <c r="K58" s="162"/>
      <c r="L58" s="163"/>
      <c r="M58" s="164"/>
      <c r="N58" s="165"/>
      <c r="O58" s="303"/>
      <c r="P58" s="334"/>
      <c r="Q58" s="303"/>
      <c r="R58" s="333">
        <v>120</v>
      </c>
    </row>
    <row r="59" spans="2:18" ht="20.25">
      <c r="C59" s="303"/>
      <c r="D59" s="158"/>
      <c r="E59" s="303"/>
      <c r="F59" s="303"/>
      <c r="G59" s="303"/>
      <c r="H59" s="303"/>
      <c r="I59" s="303"/>
      <c r="J59" s="303"/>
      <c r="K59" s="162"/>
      <c r="L59" s="163"/>
      <c r="M59" s="164"/>
      <c r="N59" s="165"/>
      <c r="O59" s="303"/>
      <c r="P59" s="303"/>
      <c r="Q59" s="303"/>
      <c r="R59" s="333"/>
    </row>
    <row r="60" spans="2:18" ht="20.25">
      <c r="C60" s="304" t="s">
        <v>753</v>
      </c>
      <c r="D60" s="648" t="s">
        <v>665</v>
      </c>
      <c r="E60" s="649"/>
      <c r="F60" s="649"/>
      <c r="G60" s="649"/>
      <c r="H60" s="649"/>
      <c r="I60" s="649"/>
      <c r="J60" s="649"/>
      <c r="K60" s="650"/>
      <c r="L60" s="651" t="s">
        <v>623</v>
      </c>
      <c r="M60" s="652"/>
      <c r="N60" s="653"/>
      <c r="O60" s="152"/>
      <c r="P60" s="153">
        <f>SUM(R62:R63)</f>
        <v>13.86</v>
      </c>
      <c r="Q60" s="153"/>
      <c r="R60" s="154" t="s">
        <v>9</v>
      </c>
    </row>
    <row r="61" spans="2:18" ht="20.25">
      <c r="C61" s="303"/>
      <c r="D61" s="155" t="s">
        <v>462</v>
      </c>
      <c r="E61" s="303"/>
      <c r="F61" s="303"/>
      <c r="G61" s="303"/>
      <c r="H61" s="303"/>
      <c r="I61" s="303"/>
      <c r="J61" s="303"/>
      <c r="K61" s="303"/>
      <c r="L61" s="156" t="s">
        <v>638</v>
      </c>
      <c r="M61" s="152"/>
      <c r="N61" s="156" t="s">
        <v>625</v>
      </c>
      <c r="O61" s="152"/>
      <c r="P61" s="156" t="s">
        <v>637</v>
      </c>
      <c r="Q61" s="153"/>
      <c r="R61" s="157" t="s">
        <v>10</v>
      </c>
    </row>
    <row r="62" spans="2:18" ht="20.25">
      <c r="B62" s="198"/>
      <c r="C62" s="303"/>
      <c r="D62" s="158" t="s">
        <v>779</v>
      </c>
      <c r="E62" s="303"/>
      <c r="F62" s="303"/>
      <c r="G62" s="303"/>
      <c r="H62" s="303"/>
      <c r="I62" s="303"/>
      <c r="J62" s="303"/>
      <c r="K62" s="162"/>
      <c r="L62" s="163">
        <v>8</v>
      </c>
      <c r="M62" s="164"/>
      <c r="N62" s="165">
        <v>0.6</v>
      </c>
      <c r="O62" s="303"/>
      <c r="P62" s="334">
        <v>2.1</v>
      </c>
      <c r="Q62" s="303"/>
      <c r="R62" s="333">
        <f>L62*N62*P62</f>
        <v>10.08</v>
      </c>
    </row>
    <row r="63" spans="2:18" ht="20.25">
      <c r="B63" s="198"/>
      <c r="C63" s="303"/>
      <c r="D63" s="158" t="s">
        <v>780</v>
      </c>
      <c r="E63" s="303"/>
      <c r="F63" s="303"/>
      <c r="G63" s="303"/>
      <c r="H63" s="303"/>
      <c r="I63" s="303"/>
      <c r="J63" s="303"/>
      <c r="K63" s="162"/>
      <c r="L63" s="163">
        <v>2</v>
      </c>
      <c r="M63" s="164"/>
      <c r="N63" s="165">
        <v>0.9</v>
      </c>
      <c r="O63" s="303"/>
      <c r="P63" s="334">
        <v>2.1</v>
      </c>
      <c r="Q63" s="303"/>
      <c r="R63" s="333">
        <f>L63*N63*P63</f>
        <v>3.7800000000000002</v>
      </c>
    </row>
    <row r="64" spans="2:18" ht="20.25">
      <c r="C64" s="303"/>
      <c r="D64" s="158"/>
      <c r="E64" s="303"/>
      <c r="F64" s="303"/>
      <c r="G64" s="303"/>
      <c r="H64" s="303"/>
      <c r="I64" s="303"/>
      <c r="J64" s="303"/>
      <c r="K64" s="162"/>
      <c r="L64" s="163"/>
      <c r="M64" s="164"/>
      <c r="N64" s="165"/>
      <c r="O64" s="303"/>
      <c r="P64" s="303"/>
      <c r="Q64" s="303"/>
      <c r="R64" s="333"/>
    </row>
    <row r="65" spans="1:19" ht="20.25">
      <c r="C65" s="304" t="s">
        <v>775</v>
      </c>
      <c r="D65" s="648" t="s">
        <v>778</v>
      </c>
      <c r="E65" s="649"/>
      <c r="F65" s="649"/>
      <c r="G65" s="649"/>
      <c r="H65" s="649"/>
      <c r="I65" s="649"/>
      <c r="J65" s="649"/>
      <c r="K65" s="650"/>
      <c r="L65" s="651" t="s">
        <v>623</v>
      </c>
      <c r="M65" s="652"/>
      <c r="N65" s="653"/>
      <c r="O65" s="152"/>
      <c r="P65" s="153">
        <f>R67</f>
        <v>4</v>
      </c>
      <c r="Q65" s="153"/>
      <c r="R65" s="154" t="s">
        <v>9</v>
      </c>
    </row>
    <row r="66" spans="1:19" ht="20.25">
      <c r="C66" s="303"/>
      <c r="D66" s="155" t="s">
        <v>462</v>
      </c>
      <c r="E66" s="303"/>
      <c r="F66" s="303"/>
      <c r="G66" s="303"/>
      <c r="H66" s="303"/>
      <c r="I66" s="303"/>
      <c r="J66" s="303"/>
      <c r="K66" s="303"/>
      <c r="L66" s="156" t="s">
        <v>638</v>
      </c>
      <c r="M66" s="152"/>
      <c r="N66" s="156" t="s">
        <v>625</v>
      </c>
      <c r="O66" s="152"/>
      <c r="P66" s="156" t="s">
        <v>637</v>
      </c>
      <c r="Q66" s="153"/>
      <c r="R66" s="157" t="s">
        <v>10</v>
      </c>
    </row>
    <row r="67" spans="1:19" ht="20.25">
      <c r="B67" s="198"/>
      <c r="C67" s="303"/>
      <c r="D67" s="158"/>
      <c r="E67" s="303"/>
      <c r="F67" s="303"/>
      <c r="G67" s="303"/>
      <c r="H67" s="303"/>
      <c r="I67" s="303"/>
      <c r="J67" s="303"/>
      <c r="K67" s="162"/>
      <c r="L67" s="163">
        <v>8</v>
      </c>
      <c r="M67" s="164"/>
      <c r="N67" s="165">
        <v>1</v>
      </c>
      <c r="O67" s="303"/>
      <c r="P67" s="334">
        <v>0.5</v>
      </c>
      <c r="Q67" s="303"/>
      <c r="R67" s="333">
        <f>L67*N67*P67</f>
        <v>4</v>
      </c>
    </row>
    <row r="68" spans="1:19" ht="20.25">
      <c r="C68" s="303"/>
      <c r="D68" s="158"/>
      <c r="E68" s="303"/>
      <c r="F68" s="303"/>
      <c r="G68" s="303"/>
      <c r="H68" s="303"/>
      <c r="I68" s="303"/>
      <c r="J68" s="303"/>
      <c r="K68" s="162"/>
      <c r="L68" s="163"/>
      <c r="M68" s="164"/>
      <c r="N68" s="165"/>
      <c r="O68" s="303"/>
      <c r="P68" s="303"/>
      <c r="Q68" s="303"/>
      <c r="R68" s="333"/>
    </row>
    <row r="69" spans="1:19" ht="20.25">
      <c r="C69" s="304" t="s">
        <v>1451</v>
      </c>
      <c r="D69" s="648" t="s">
        <v>667</v>
      </c>
      <c r="E69" s="649"/>
      <c r="F69" s="649"/>
      <c r="G69" s="649"/>
      <c r="H69" s="649"/>
      <c r="I69" s="649"/>
      <c r="J69" s="649"/>
      <c r="K69" s="650"/>
      <c r="L69" s="651" t="s">
        <v>623</v>
      </c>
      <c r="M69" s="652"/>
      <c r="N69" s="653"/>
      <c r="O69" s="152"/>
      <c r="P69" s="153">
        <f>SUM(R71)</f>
        <v>250</v>
      </c>
      <c r="Q69" s="153"/>
      <c r="R69" s="154" t="s">
        <v>9</v>
      </c>
    </row>
    <row r="70" spans="1:19" ht="20.25">
      <c r="C70" s="303"/>
      <c r="D70" s="155" t="s">
        <v>462</v>
      </c>
      <c r="E70" s="303"/>
      <c r="F70" s="303"/>
      <c r="G70" s="303"/>
      <c r="H70" s="303"/>
      <c r="I70" s="303"/>
      <c r="J70" s="303"/>
      <c r="K70" s="303"/>
      <c r="L70" s="156"/>
      <c r="M70" s="152"/>
      <c r="N70" s="156"/>
      <c r="O70" s="152"/>
      <c r="P70" s="156"/>
      <c r="Q70" s="153"/>
      <c r="R70" s="157" t="s">
        <v>626</v>
      </c>
    </row>
    <row r="71" spans="1:19" ht="20.25">
      <c r="A71" s="197"/>
      <c r="C71" s="303"/>
      <c r="D71" s="158"/>
      <c r="E71" s="303"/>
      <c r="F71" s="303"/>
      <c r="G71" s="303"/>
      <c r="H71" s="303"/>
      <c r="I71" s="303"/>
      <c r="J71" s="303"/>
      <c r="K71" s="162"/>
      <c r="L71" s="163"/>
      <c r="M71" s="164"/>
      <c r="N71" s="165"/>
      <c r="O71" s="303"/>
      <c r="P71" s="334"/>
      <c r="Q71" s="303"/>
      <c r="R71" s="333">
        <v>250</v>
      </c>
    </row>
    <row r="72" spans="1:19" ht="20.25">
      <c r="C72" s="303"/>
      <c r="D72" s="158"/>
      <c r="E72" s="303"/>
      <c r="F72" s="303"/>
      <c r="G72" s="303"/>
      <c r="H72" s="303"/>
      <c r="I72" s="303"/>
      <c r="J72" s="303"/>
      <c r="K72" s="162"/>
      <c r="L72" s="163"/>
      <c r="M72" s="164"/>
      <c r="N72" s="165"/>
      <c r="O72" s="303"/>
      <c r="P72" s="303"/>
      <c r="Q72" s="303"/>
      <c r="R72" s="333"/>
    </row>
    <row r="73" spans="1:19" ht="20.25">
      <c r="C73" s="168" t="s">
        <v>179</v>
      </c>
      <c r="D73" s="657" t="s">
        <v>814</v>
      </c>
      <c r="E73" s="657"/>
      <c r="F73" s="657"/>
      <c r="G73" s="657"/>
      <c r="H73" s="657"/>
      <c r="I73" s="657"/>
      <c r="J73" s="657"/>
      <c r="K73" s="657"/>
      <c r="L73" s="657"/>
      <c r="M73" s="657"/>
      <c r="N73" s="657"/>
      <c r="O73" s="657"/>
      <c r="P73" s="657"/>
      <c r="Q73" s="657"/>
      <c r="R73" s="657"/>
    </row>
    <row r="74" spans="1:19" s="221" customFormat="1" ht="45.75" customHeight="1">
      <c r="C74" s="174"/>
      <c r="D74" s="638" t="s">
        <v>856</v>
      </c>
      <c r="E74" s="639"/>
      <c r="F74" s="639"/>
      <c r="G74" s="639"/>
      <c r="H74" s="639"/>
      <c r="I74" s="639"/>
      <c r="J74" s="639"/>
      <c r="K74" s="640"/>
      <c r="L74" s="641" t="s">
        <v>623</v>
      </c>
      <c r="M74" s="641"/>
      <c r="N74" s="641"/>
      <c r="O74" s="176"/>
      <c r="P74" s="183">
        <f>SUM(R77:R78)</f>
        <v>518</v>
      </c>
      <c r="Q74" s="183"/>
      <c r="R74" s="184" t="s">
        <v>9</v>
      </c>
      <c r="S74" s="362">
        <f>P80+P74</f>
        <v>1470.5</v>
      </c>
    </row>
    <row r="75" spans="1:19" s="221" customFormat="1" ht="20.25">
      <c r="C75" s="174"/>
      <c r="D75" s="176" t="s">
        <v>640</v>
      </c>
      <c r="E75" s="171"/>
      <c r="F75" s="175"/>
      <c r="G75" s="175"/>
      <c r="H75" s="175"/>
      <c r="I75" s="175"/>
      <c r="J75" s="176"/>
      <c r="K75" s="171"/>
      <c r="L75" s="186" t="s">
        <v>638</v>
      </c>
      <c r="M75" s="226"/>
      <c r="N75" s="186" t="s">
        <v>811</v>
      </c>
      <c r="O75" s="176"/>
      <c r="P75" s="186"/>
      <c r="Q75" s="183"/>
      <c r="R75" s="188" t="s">
        <v>811</v>
      </c>
    </row>
    <row r="76" spans="1:19" s="221" customFormat="1" ht="20.25">
      <c r="C76" s="174"/>
      <c r="D76" s="642" t="s">
        <v>682</v>
      </c>
      <c r="E76" s="643"/>
      <c r="F76" s="643"/>
      <c r="G76" s="643"/>
      <c r="H76" s="643"/>
      <c r="I76" s="643"/>
      <c r="J76" s="643"/>
      <c r="K76" s="643"/>
      <c r="L76" s="643"/>
      <c r="M76" s="643"/>
      <c r="N76" s="643"/>
      <c r="O76" s="643"/>
      <c r="P76" s="643"/>
      <c r="Q76" s="643"/>
      <c r="R76" s="644"/>
    </row>
    <row r="77" spans="1:19" s="221" customFormat="1" ht="20.25">
      <c r="C77" s="174"/>
      <c r="D77" s="176" t="s">
        <v>860</v>
      </c>
      <c r="E77" s="171"/>
      <c r="F77" s="175"/>
      <c r="G77" s="175"/>
      <c r="H77" s="175"/>
      <c r="I77" s="175"/>
      <c r="J77" s="176"/>
      <c r="K77" s="171"/>
      <c r="L77" s="177">
        <v>14</v>
      </c>
      <c r="M77" s="177"/>
      <c r="N77" s="165">
        <v>35.5</v>
      </c>
      <c r="O77" s="176"/>
      <c r="P77" s="176"/>
      <c r="Q77" s="183"/>
      <c r="R77" s="176">
        <f>L77*N77</f>
        <v>497</v>
      </c>
    </row>
    <row r="78" spans="1:19" s="221" customFormat="1" ht="20.25">
      <c r="C78" s="174"/>
      <c r="D78" s="176" t="s">
        <v>828</v>
      </c>
      <c r="E78" s="171"/>
      <c r="F78" s="175"/>
      <c r="G78" s="175"/>
      <c r="H78" s="175"/>
      <c r="I78" s="175"/>
      <c r="J78" s="176"/>
      <c r="K78" s="171"/>
      <c r="L78" s="177">
        <v>1</v>
      </c>
      <c r="M78" s="177"/>
      <c r="N78" s="165">
        <v>21</v>
      </c>
      <c r="O78" s="176"/>
      <c r="P78" s="176"/>
      <c r="Q78" s="183"/>
      <c r="R78" s="176">
        <f>L78*N78</f>
        <v>21</v>
      </c>
    </row>
    <row r="79" spans="1:19" s="221" customFormat="1" ht="20.25">
      <c r="C79" s="174"/>
      <c r="D79" s="176"/>
      <c r="E79" s="171"/>
      <c r="F79" s="175"/>
      <c r="G79" s="175"/>
      <c r="H79" s="175"/>
      <c r="I79" s="175"/>
      <c r="J79" s="176"/>
      <c r="K79" s="171"/>
      <c r="L79" s="177"/>
      <c r="M79" s="177"/>
      <c r="N79" s="165"/>
      <c r="O79" s="176"/>
      <c r="P79" s="176"/>
      <c r="Q79" s="183"/>
      <c r="R79" s="176"/>
    </row>
    <row r="80" spans="1:19" s="221" customFormat="1" ht="20.25">
      <c r="C80" s="174"/>
      <c r="D80" s="638" t="s">
        <v>1184</v>
      </c>
      <c r="E80" s="639"/>
      <c r="F80" s="639"/>
      <c r="G80" s="639"/>
      <c r="H80" s="639"/>
      <c r="I80" s="639"/>
      <c r="J80" s="639"/>
      <c r="K80" s="640"/>
      <c r="L80" s="641" t="s">
        <v>623</v>
      </c>
      <c r="M80" s="641"/>
      <c r="N80" s="641"/>
      <c r="O80" s="176"/>
      <c r="P80" s="183">
        <f>SUM(R83:R89)</f>
        <v>952.5</v>
      </c>
      <c r="Q80" s="183"/>
      <c r="R80" s="184" t="s">
        <v>9</v>
      </c>
    </row>
    <row r="81" spans="3:18" s="221" customFormat="1" ht="20.25">
      <c r="C81" s="174"/>
      <c r="D81" s="176" t="s">
        <v>640</v>
      </c>
      <c r="E81" s="171"/>
      <c r="F81" s="175"/>
      <c r="G81" s="175"/>
      <c r="H81" s="175"/>
      <c r="I81" s="175"/>
      <c r="J81" s="176"/>
      <c r="K81" s="171"/>
      <c r="L81" s="186" t="s">
        <v>638</v>
      </c>
      <c r="M81" s="226"/>
      <c r="N81" s="186" t="s">
        <v>811</v>
      </c>
      <c r="O81" s="176"/>
      <c r="P81" s="186"/>
      <c r="Q81" s="183"/>
      <c r="R81" s="188" t="s">
        <v>811</v>
      </c>
    </row>
    <row r="82" spans="3:18" s="221" customFormat="1" ht="20.25">
      <c r="C82" s="174"/>
      <c r="D82" s="642" t="s">
        <v>682</v>
      </c>
      <c r="E82" s="643"/>
      <c r="F82" s="643"/>
      <c r="G82" s="643"/>
      <c r="H82" s="643"/>
      <c r="I82" s="643"/>
      <c r="J82" s="643"/>
      <c r="K82" s="643"/>
      <c r="L82" s="643"/>
      <c r="M82" s="643"/>
      <c r="N82" s="643"/>
      <c r="O82" s="643"/>
      <c r="P82" s="643"/>
      <c r="Q82" s="643"/>
      <c r="R82" s="644"/>
    </row>
    <row r="83" spans="3:18" s="221" customFormat="1" ht="20.25">
      <c r="C83" s="174"/>
      <c r="D83" s="176" t="s">
        <v>866</v>
      </c>
      <c r="E83" s="171"/>
      <c r="F83" s="175"/>
      <c r="G83" s="175"/>
      <c r="H83" s="175"/>
      <c r="I83" s="175"/>
      <c r="J83" s="176"/>
      <c r="K83" s="171"/>
      <c r="L83" s="177">
        <v>15</v>
      </c>
      <c r="M83" s="177"/>
      <c r="N83" s="165">
        <v>14</v>
      </c>
      <c r="O83" s="176"/>
      <c r="P83" s="176"/>
      <c r="Q83" s="183"/>
      <c r="R83" s="176">
        <f>L83*N83</f>
        <v>210</v>
      </c>
    </row>
    <row r="84" spans="3:18" s="221" customFormat="1" ht="20.25">
      <c r="C84" s="174"/>
      <c r="D84" s="176"/>
      <c r="E84" s="171"/>
      <c r="F84" s="175"/>
      <c r="G84" s="175"/>
      <c r="H84" s="175"/>
      <c r="I84" s="175"/>
      <c r="J84" s="176"/>
      <c r="K84" s="171"/>
      <c r="L84" s="177"/>
      <c r="M84" s="177"/>
      <c r="N84" s="165"/>
      <c r="O84" s="176"/>
      <c r="P84" s="176"/>
      <c r="Q84" s="183"/>
      <c r="R84" s="176"/>
    </row>
    <row r="85" spans="3:18" s="221" customFormat="1" ht="20.25">
      <c r="C85" s="174"/>
      <c r="D85" s="642" t="s">
        <v>808</v>
      </c>
      <c r="E85" s="643"/>
      <c r="F85" s="643"/>
      <c r="G85" s="643"/>
      <c r="H85" s="643"/>
      <c r="I85" s="643"/>
      <c r="J85" s="643"/>
      <c r="K85" s="643"/>
      <c r="L85" s="643"/>
      <c r="M85" s="643"/>
      <c r="N85" s="643"/>
      <c r="O85" s="643"/>
      <c r="P85" s="643"/>
      <c r="Q85" s="643"/>
      <c r="R85" s="644"/>
    </row>
    <row r="86" spans="3:18" s="221" customFormat="1" ht="20.25">
      <c r="C86" s="174"/>
      <c r="D86" s="176" t="s">
        <v>866</v>
      </c>
      <c r="E86" s="171"/>
      <c r="F86" s="175"/>
      <c r="G86" s="175"/>
      <c r="H86" s="175"/>
      <c r="I86" s="175"/>
      <c r="J86" s="176"/>
      <c r="K86" s="171"/>
      <c r="L86" s="177">
        <v>15</v>
      </c>
      <c r="M86" s="177"/>
      <c r="N86" s="165">
        <v>14</v>
      </c>
      <c r="O86" s="176"/>
      <c r="P86" s="176"/>
      <c r="Q86" s="183"/>
      <c r="R86" s="176">
        <f>L86*N86</f>
        <v>210</v>
      </c>
    </row>
    <row r="87" spans="3:18" s="221" customFormat="1" ht="20.25">
      <c r="C87" s="174"/>
      <c r="D87" s="176" t="s">
        <v>860</v>
      </c>
      <c r="E87" s="171"/>
      <c r="F87" s="175"/>
      <c r="G87" s="175"/>
      <c r="H87" s="175"/>
      <c r="I87" s="175"/>
      <c r="J87" s="176"/>
      <c r="K87" s="171"/>
      <c r="L87" s="177">
        <v>14</v>
      </c>
      <c r="M87" s="177"/>
      <c r="N87" s="165">
        <v>35.5</v>
      </c>
      <c r="O87" s="176"/>
      <c r="P87" s="176"/>
      <c r="Q87" s="183"/>
      <c r="R87" s="176">
        <f>L87*N87</f>
        <v>497</v>
      </c>
    </row>
    <row r="88" spans="3:18" s="221" customFormat="1" ht="20.25">
      <c r="C88" s="174"/>
      <c r="D88" s="176" t="s">
        <v>828</v>
      </c>
      <c r="E88" s="171"/>
      <c r="F88" s="175"/>
      <c r="G88" s="175"/>
      <c r="H88" s="175"/>
      <c r="I88" s="175"/>
      <c r="J88" s="176"/>
      <c r="K88" s="171"/>
      <c r="L88" s="177">
        <v>1</v>
      </c>
      <c r="M88" s="177"/>
      <c r="N88" s="165">
        <v>21</v>
      </c>
      <c r="O88" s="176"/>
      <c r="P88" s="176"/>
      <c r="Q88" s="183"/>
      <c r="R88" s="176">
        <f>L88*N88</f>
        <v>21</v>
      </c>
    </row>
    <row r="89" spans="3:18" s="221" customFormat="1" ht="20.25">
      <c r="C89" s="174"/>
      <c r="D89" s="176" t="s">
        <v>1129</v>
      </c>
      <c r="E89" s="171"/>
      <c r="F89" s="175"/>
      <c r="G89" s="175"/>
      <c r="H89" s="175"/>
      <c r="I89" s="175"/>
      <c r="J89" s="176"/>
      <c r="K89" s="171"/>
      <c r="L89" s="177">
        <v>1</v>
      </c>
      <c r="M89" s="177"/>
      <c r="N89" s="165">
        <v>14.5</v>
      </c>
      <c r="O89" s="176"/>
      <c r="P89" s="176"/>
      <c r="Q89" s="183"/>
      <c r="R89" s="176">
        <f>L89*N89</f>
        <v>14.5</v>
      </c>
    </row>
    <row r="90" spans="3:18" s="221" customFormat="1" ht="20.25">
      <c r="C90" s="174"/>
      <c r="D90" s="176"/>
      <c r="E90" s="171"/>
      <c r="F90" s="175"/>
      <c r="G90" s="175"/>
      <c r="H90" s="175"/>
      <c r="I90" s="175"/>
      <c r="J90" s="176"/>
      <c r="K90" s="171"/>
      <c r="L90" s="177"/>
      <c r="M90" s="177"/>
      <c r="N90" s="165"/>
      <c r="O90" s="176"/>
      <c r="P90" s="176"/>
      <c r="Q90" s="183"/>
      <c r="R90" s="176"/>
    </row>
    <row r="91" spans="3:18" s="221" customFormat="1" ht="20.25">
      <c r="C91" s="174"/>
      <c r="D91" s="654" t="s">
        <v>652</v>
      </c>
      <c r="E91" s="655"/>
      <c r="F91" s="655"/>
      <c r="G91" s="655"/>
      <c r="H91" s="655"/>
      <c r="I91" s="655"/>
      <c r="J91" s="655"/>
      <c r="K91" s="656"/>
      <c r="L91" s="641" t="s">
        <v>623</v>
      </c>
      <c r="M91" s="641"/>
      <c r="N91" s="641"/>
      <c r="O91" s="226"/>
      <c r="P91" s="226">
        <f>SUM(R93:R96)</f>
        <v>127.19999999999999</v>
      </c>
      <c r="Q91" s="183"/>
      <c r="R91" s="226" t="s">
        <v>11</v>
      </c>
    </row>
    <row r="92" spans="3:18" ht="20.25">
      <c r="C92" s="169"/>
      <c r="D92" s="166" t="s">
        <v>462</v>
      </c>
      <c r="E92" s="228"/>
      <c r="F92" s="228"/>
      <c r="G92" s="228"/>
      <c r="H92" s="228"/>
      <c r="I92" s="228"/>
      <c r="J92" s="228"/>
      <c r="K92" s="228"/>
      <c r="L92" s="186" t="s">
        <v>641</v>
      </c>
      <c r="M92" s="226"/>
      <c r="N92" s="156" t="s">
        <v>625</v>
      </c>
      <c r="O92" s="152"/>
      <c r="P92" s="156"/>
      <c r="Q92" s="153"/>
      <c r="R92" s="152"/>
    </row>
    <row r="93" spans="3:18" ht="20.25">
      <c r="C93" s="187"/>
      <c r="D93" s="158" t="s">
        <v>685</v>
      </c>
      <c r="E93" s="171"/>
      <c r="F93" s="185"/>
      <c r="G93" s="185"/>
      <c r="H93" s="185"/>
      <c r="I93" s="185"/>
      <c r="J93" s="164"/>
      <c r="K93" s="162"/>
      <c r="L93" s="164">
        <f>18*2</f>
        <v>36</v>
      </c>
      <c r="M93" s="164"/>
      <c r="N93" s="164">
        <v>2.4</v>
      </c>
      <c r="O93" s="164"/>
      <c r="P93" s="164"/>
      <c r="Q93" s="173"/>
      <c r="R93" s="164">
        <f>L93*N93</f>
        <v>86.399999999999991</v>
      </c>
    </row>
    <row r="94" spans="3:18" ht="20.25">
      <c r="C94" s="187"/>
      <c r="D94" s="166" t="s">
        <v>711</v>
      </c>
      <c r="E94" s="171"/>
      <c r="F94" s="185"/>
      <c r="G94" s="185"/>
      <c r="H94" s="185"/>
      <c r="I94" s="185"/>
      <c r="J94" s="164"/>
      <c r="K94" s="167"/>
      <c r="L94" s="164">
        <f>4*2</f>
        <v>8</v>
      </c>
      <c r="M94" s="164"/>
      <c r="N94" s="164">
        <v>2.4</v>
      </c>
      <c r="O94" s="164"/>
      <c r="P94" s="164"/>
      <c r="Q94" s="173"/>
      <c r="R94" s="164">
        <f>L94*N94</f>
        <v>19.2</v>
      </c>
    </row>
    <row r="95" spans="3:18" ht="20.25">
      <c r="C95" s="187"/>
      <c r="D95" s="166" t="s">
        <v>686</v>
      </c>
      <c r="E95" s="171"/>
      <c r="F95" s="185"/>
      <c r="G95" s="185"/>
      <c r="H95" s="185"/>
      <c r="I95" s="185"/>
      <c r="J95" s="164"/>
      <c r="K95" s="167"/>
      <c r="L95" s="164">
        <f>2*2</f>
        <v>4</v>
      </c>
      <c r="M95" s="164"/>
      <c r="N95" s="164">
        <v>4.2</v>
      </c>
      <c r="O95" s="164"/>
      <c r="P95" s="164"/>
      <c r="Q95" s="173"/>
      <c r="R95" s="164">
        <f>L95*N95</f>
        <v>16.8</v>
      </c>
    </row>
    <row r="96" spans="3:18" ht="20.25">
      <c r="C96" s="187"/>
      <c r="D96" s="166" t="s">
        <v>687</v>
      </c>
      <c r="E96" s="171"/>
      <c r="F96" s="185"/>
      <c r="G96" s="185"/>
      <c r="H96" s="185"/>
      <c r="I96" s="185"/>
      <c r="J96" s="164"/>
      <c r="K96" s="167"/>
      <c r="L96" s="164">
        <f>1*2</f>
        <v>2</v>
      </c>
      <c r="M96" s="164"/>
      <c r="N96" s="164">
        <v>2.4</v>
      </c>
      <c r="O96" s="164"/>
      <c r="P96" s="164"/>
      <c r="Q96" s="173"/>
      <c r="R96" s="164">
        <f>L96*N96</f>
        <v>4.8</v>
      </c>
    </row>
    <row r="97" spans="3:19" ht="20.25">
      <c r="C97" s="187"/>
      <c r="D97" s="166"/>
      <c r="E97" s="171"/>
      <c r="F97" s="185"/>
      <c r="G97" s="185"/>
      <c r="H97" s="185"/>
      <c r="I97" s="185"/>
      <c r="J97" s="164"/>
      <c r="K97" s="167"/>
      <c r="L97" s="164"/>
      <c r="M97" s="164"/>
      <c r="N97" s="164"/>
      <c r="O97" s="164"/>
      <c r="P97" s="164"/>
      <c r="Q97" s="173"/>
      <c r="R97" s="164"/>
    </row>
    <row r="98" spans="3:19" ht="20.25">
      <c r="C98" s="168">
        <v>5</v>
      </c>
      <c r="D98" s="657" t="s">
        <v>643</v>
      </c>
      <c r="E98" s="657"/>
      <c r="F98" s="657"/>
      <c r="G98" s="657"/>
      <c r="H98" s="657"/>
      <c r="I98" s="657"/>
      <c r="J98" s="657"/>
      <c r="K98" s="657"/>
      <c r="L98" s="657"/>
      <c r="M98" s="657"/>
      <c r="N98" s="657"/>
      <c r="O98" s="657"/>
      <c r="P98" s="657"/>
      <c r="Q98" s="657"/>
      <c r="R98" s="657"/>
    </row>
    <row r="99" spans="3:19" ht="48.75" customHeight="1">
      <c r="C99" s="169" t="s">
        <v>412</v>
      </c>
      <c r="D99" s="637" t="s">
        <v>644</v>
      </c>
      <c r="E99" s="637"/>
      <c r="F99" s="637"/>
      <c r="G99" s="637"/>
      <c r="H99" s="637"/>
      <c r="I99" s="637"/>
      <c r="J99" s="637"/>
      <c r="K99" s="637"/>
      <c r="L99" s="636" t="s">
        <v>623</v>
      </c>
      <c r="M99" s="636"/>
      <c r="N99" s="636"/>
      <c r="O99" s="152"/>
      <c r="P99" s="153">
        <f>SUM(R102:R122)</f>
        <v>1360.797</v>
      </c>
      <c r="Q99" s="153"/>
      <c r="R99" s="154" t="s">
        <v>9</v>
      </c>
    </row>
    <row r="100" spans="3:19" ht="20.25">
      <c r="C100" s="169"/>
      <c r="D100" s="155" t="s">
        <v>640</v>
      </c>
      <c r="E100" s="170"/>
      <c r="F100" s="170"/>
      <c r="G100" s="170"/>
      <c r="H100" s="170"/>
      <c r="I100" s="156" t="s">
        <v>645</v>
      </c>
      <c r="J100" s="161"/>
      <c r="K100" s="161"/>
      <c r="L100" s="156"/>
      <c r="M100" s="152"/>
      <c r="N100" s="156" t="s">
        <v>625</v>
      </c>
      <c r="O100" s="152"/>
      <c r="P100" s="156" t="s">
        <v>639</v>
      </c>
      <c r="Q100" s="153"/>
      <c r="R100" s="157" t="s">
        <v>626</v>
      </c>
    </row>
    <row r="101" spans="3:19" ht="20.25">
      <c r="C101" s="169"/>
      <c r="D101" s="645" t="s">
        <v>682</v>
      </c>
      <c r="E101" s="646"/>
      <c r="F101" s="646"/>
      <c r="G101" s="646"/>
      <c r="H101" s="646"/>
      <c r="I101" s="646"/>
      <c r="J101" s="646"/>
      <c r="K101" s="646"/>
      <c r="L101" s="646"/>
      <c r="M101" s="646"/>
      <c r="N101" s="646"/>
      <c r="O101" s="646"/>
      <c r="P101" s="646"/>
      <c r="Q101" s="646"/>
      <c r="R101" s="647"/>
    </row>
    <row r="102" spans="3:19" ht="20.25">
      <c r="C102" s="169"/>
      <c r="D102" s="164" t="s">
        <v>683</v>
      </c>
      <c r="E102" s="162"/>
      <c r="F102" s="172"/>
      <c r="G102" s="172"/>
      <c r="H102" s="172"/>
      <c r="I102" s="162">
        <f>(3*2.69)</f>
        <v>8.07</v>
      </c>
      <c r="J102" s="164"/>
      <c r="K102" s="162"/>
      <c r="L102" s="163"/>
      <c r="M102" s="164"/>
      <c r="N102" s="163">
        <f>8*10</f>
        <v>80</v>
      </c>
      <c r="O102" s="164"/>
      <c r="P102" s="173">
        <v>2.8</v>
      </c>
      <c r="Q102" s="173"/>
      <c r="R102" s="163">
        <f>N102*P102-I102</f>
        <v>215.93</v>
      </c>
      <c r="S102" s="199">
        <f>SUM(R102:R108)</f>
        <v>488.6459999999999</v>
      </c>
    </row>
    <row r="103" spans="3:19" ht="20.25">
      <c r="C103" s="169"/>
      <c r="D103" s="164" t="s">
        <v>646</v>
      </c>
      <c r="E103" s="162"/>
      <c r="F103" s="172"/>
      <c r="G103" s="172"/>
      <c r="H103" s="172"/>
      <c r="I103" s="162">
        <f>(24*3)+(6*2.69)</f>
        <v>88.14</v>
      </c>
      <c r="J103" s="164"/>
      <c r="K103" s="162"/>
      <c r="L103" s="163"/>
      <c r="M103" s="164"/>
      <c r="N103" s="163">
        <f>15.5*6</f>
        <v>93</v>
      </c>
      <c r="O103" s="164"/>
      <c r="P103" s="173">
        <v>2.8</v>
      </c>
      <c r="Q103" s="173"/>
      <c r="R103" s="163">
        <f t="shared" ref="R103:R110" si="0">N103*P103-I103</f>
        <v>172.26</v>
      </c>
    </row>
    <row r="104" spans="3:19" ht="20.25">
      <c r="C104" s="169"/>
      <c r="D104" s="164" t="s">
        <v>647</v>
      </c>
      <c r="E104" s="162"/>
      <c r="F104" s="172"/>
      <c r="G104" s="172"/>
      <c r="H104" s="172"/>
      <c r="I104" s="162">
        <f>(4*0.75)</f>
        <v>3</v>
      </c>
      <c r="J104" s="164"/>
      <c r="K104" s="162"/>
      <c r="L104" s="163"/>
      <c r="M104" s="164"/>
      <c r="N104" s="163">
        <f>4.2*2</f>
        <v>8.4</v>
      </c>
      <c r="O104" s="164"/>
      <c r="P104" s="173">
        <v>2.8</v>
      </c>
      <c r="Q104" s="173"/>
      <c r="R104" s="163">
        <f t="shared" si="0"/>
        <v>20.52</v>
      </c>
    </row>
    <row r="105" spans="3:19" ht="20.25">
      <c r="C105" s="169"/>
      <c r="D105" s="164" t="s">
        <v>647</v>
      </c>
      <c r="E105" s="162"/>
      <c r="F105" s="172"/>
      <c r="G105" s="172"/>
      <c r="H105" s="172"/>
      <c r="I105" s="185"/>
      <c r="J105" s="164"/>
      <c r="K105" s="162"/>
      <c r="L105" s="163"/>
      <c r="M105" s="164"/>
      <c r="N105" s="163">
        <v>5.67</v>
      </c>
      <c r="O105" s="164"/>
      <c r="P105" s="173">
        <v>2.8</v>
      </c>
      <c r="Q105" s="173"/>
      <c r="R105" s="163">
        <f t="shared" si="0"/>
        <v>15.875999999999999</v>
      </c>
    </row>
    <row r="106" spans="3:19" ht="20.25">
      <c r="C106" s="169"/>
      <c r="D106" s="164" t="s">
        <v>647</v>
      </c>
      <c r="E106" s="162"/>
      <c r="F106" s="172"/>
      <c r="G106" s="172"/>
      <c r="H106" s="172"/>
      <c r="I106" s="162">
        <f>2.69*2</f>
        <v>5.38</v>
      </c>
      <c r="J106" s="164"/>
      <c r="K106" s="162"/>
      <c r="L106" s="163"/>
      <c r="M106" s="164"/>
      <c r="N106" s="163">
        <f>1.4*2</f>
        <v>2.8</v>
      </c>
      <c r="O106" s="164"/>
      <c r="P106" s="173">
        <v>2.8</v>
      </c>
      <c r="Q106" s="173"/>
      <c r="R106" s="163">
        <f t="shared" si="0"/>
        <v>2.4599999999999991</v>
      </c>
    </row>
    <row r="107" spans="3:19" ht="20.25">
      <c r="C107" s="169"/>
      <c r="D107" s="164" t="s">
        <v>816</v>
      </c>
      <c r="E107" s="162"/>
      <c r="F107" s="172"/>
      <c r="G107" s="172"/>
      <c r="H107" s="172"/>
      <c r="I107" s="162"/>
      <c r="J107" s="164"/>
      <c r="K107" s="162"/>
      <c r="L107" s="163"/>
      <c r="M107" s="164"/>
      <c r="N107" s="163">
        <f>4.1*2</f>
        <v>8.1999999999999993</v>
      </c>
      <c r="O107" s="164"/>
      <c r="P107" s="173">
        <v>2.8</v>
      </c>
      <c r="Q107" s="173"/>
      <c r="R107" s="163">
        <f t="shared" si="0"/>
        <v>22.959999999999997</v>
      </c>
    </row>
    <row r="108" spans="3:19" ht="20.25">
      <c r="C108" s="169"/>
      <c r="D108" s="164" t="s">
        <v>648</v>
      </c>
      <c r="E108" s="162"/>
      <c r="F108" s="172"/>
      <c r="G108" s="172"/>
      <c r="H108" s="172"/>
      <c r="I108" s="185"/>
      <c r="J108" s="164"/>
      <c r="K108" s="162"/>
      <c r="L108" s="163"/>
      <c r="M108" s="164"/>
      <c r="N108" s="163">
        <f>4.6*3</f>
        <v>13.799999999999999</v>
      </c>
      <c r="O108" s="164"/>
      <c r="P108" s="173">
        <v>2.8</v>
      </c>
      <c r="Q108" s="173"/>
      <c r="R108" s="163">
        <f t="shared" si="0"/>
        <v>38.639999999999993</v>
      </c>
    </row>
    <row r="109" spans="3:19" ht="20.25">
      <c r="C109" s="169"/>
      <c r="D109" s="164" t="s">
        <v>649</v>
      </c>
      <c r="E109" s="162"/>
      <c r="F109" s="172"/>
      <c r="G109" s="172"/>
      <c r="H109" s="172"/>
      <c r="I109" s="185"/>
      <c r="J109" s="164"/>
      <c r="K109" s="162"/>
      <c r="L109" s="163"/>
      <c r="M109" s="164"/>
      <c r="N109" s="163">
        <v>4.8</v>
      </c>
      <c r="O109" s="164"/>
      <c r="P109" s="173">
        <v>1.1000000000000001</v>
      </c>
      <c r="Q109" s="173"/>
      <c r="R109" s="163">
        <f t="shared" si="0"/>
        <v>5.28</v>
      </c>
    </row>
    <row r="110" spans="3:19" ht="20.25">
      <c r="C110" s="169"/>
      <c r="D110" s="196" t="s">
        <v>815</v>
      </c>
      <c r="E110" s="162"/>
      <c r="F110" s="172"/>
      <c r="G110" s="172"/>
      <c r="H110" s="172"/>
      <c r="I110" s="185"/>
      <c r="J110" s="164"/>
      <c r="K110" s="162"/>
      <c r="L110" s="163"/>
      <c r="M110" s="164"/>
      <c r="N110" s="163">
        <v>53.55</v>
      </c>
      <c r="O110" s="164"/>
      <c r="P110" s="173">
        <v>1.1000000000000001</v>
      </c>
      <c r="Q110" s="173"/>
      <c r="R110" s="163">
        <f t="shared" si="0"/>
        <v>58.905000000000001</v>
      </c>
    </row>
    <row r="111" spans="3:19" ht="20.25">
      <c r="C111" s="169"/>
      <c r="D111" s="658" t="s">
        <v>650</v>
      </c>
      <c r="E111" s="659"/>
      <c r="F111" s="659"/>
      <c r="G111" s="659"/>
      <c r="H111" s="659"/>
      <c r="I111" s="659"/>
      <c r="J111" s="659"/>
      <c r="K111" s="659"/>
      <c r="L111" s="659"/>
      <c r="M111" s="659"/>
      <c r="N111" s="659"/>
      <c r="O111" s="659"/>
      <c r="P111" s="659"/>
      <c r="Q111" s="659"/>
      <c r="R111" s="660"/>
    </row>
    <row r="112" spans="3:19" ht="20.25">
      <c r="C112" s="169"/>
      <c r="D112" s="164" t="s">
        <v>683</v>
      </c>
      <c r="E112" s="162"/>
      <c r="F112" s="172"/>
      <c r="G112" s="172"/>
      <c r="H112" s="172"/>
      <c r="I112" s="162">
        <f>(3*2.69)</f>
        <v>8.07</v>
      </c>
      <c r="J112" s="164"/>
      <c r="K112" s="162"/>
      <c r="L112" s="163"/>
      <c r="M112" s="164"/>
      <c r="N112" s="163">
        <f>8*10</f>
        <v>80</v>
      </c>
      <c r="O112" s="164"/>
      <c r="P112" s="173">
        <v>2.8</v>
      </c>
      <c r="Q112" s="173"/>
      <c r="R112" s="163">
        <f>N112*P112-I112</f>
        <v>215.93</v>
      </c>
      <c r="S112" s="199">
        <f>SUM(R112:R118)</f>
        <v>488.6459999999999</v>
      </c>
    </row>
    <row r="113" spans="3:18" ht="20.25">
      <c r="C113" s="169"/>
      <c r="D113" s="164" t="s">
        <v>646</v>
      </c>
      <c r="E113" s="162"/>
      <c r="F113" s="172"/>
      <c r="G113" s="172"/>
      <c r="H113" s="172"/>
      <c r="I113" s="162">
        <f>(24*3)+(6*2.69)</f>
        <v>88.14</v>
      </c>
      <c r="J113" s="164"/>
      <c r="K113" s="162"/>
      <c r="L113" s="163"/>
      <c r="M113" s="164"/>
      <c r="N113" s="163">
        <f>15.5*6</f>
        <v>93</v>
      </c>
      <c r="O113" s="164"/>
      <c r="P113" s="173">
        <v>2.8</v>
      </c>
      <c r="Q113" s="173"/>
      <c r="R113" s="163">
        <f t="shared" ref="R113:R121" si="1">N113*P113-I113</f>
        <v>172.26</v>
      </c>
    </row>
    <row r="114" spans="3:18" ht="20.25">
      <c r="C114" s="169"/>
      <c r="D114" s="164" t="s">
        <v>647</v>
      </c>
      <c r="E114" s="162"/>
      <c r="F114" s="172"/>
      <c r="G114" s="172"/>
      <c r="H114" s="172"/>
      <c r="I114" s="162">
        <f>(4*0.75)</f>
        <v>3</v>
      </c>
      <c r="J114" s="164"/>
      <c r="K114" s="162"/>
      <c r="L114" s="163"/>
      <c r="M114" s="164"/>
      <c r="N114" s="163">
        <f>4.2*2</f>
        <v>8.4</v>
      </c>
      <c r="O114" s="164"/>
      <c r="P114" s="173">
        <v>2.8</v>
      </c>
      <c r="Q114" s="173"/>
      <c r="R114" s="163">
        <f t="shared" si="1"/>
        <v>20.52</v>
      </c>
    </row>
    <row r="115" spans="3:18" ht="20.25">
      <c r="C115" s="169"/>
      <c r="D115" s="164" t="s">
        <v>647</v>
      </c>
      <c r="E115" s="162"/>
      <c r="F115" s="172"/>
      <c r="G115" s="172"/>
      <c r="H115" s="172"/>
      <c r="I115" s="185"/>
      <c r="J115" s="164"/>
      <c r="K115" s="162"/>
      <c r="L115" s="163"/>
      <c r="M115" s="164"/>
      <c r="N115" s="163">
        <v>5.67</v>
      </c>
      <c r="O115" s="164"/>
      <c r="P115" s="173">
        <v>2.8</v>
      </c>
      <c r="Q115" s="173"/>
      <c r="R115" s="163">
        <f t="shared" si="1"/>
        <v>15.875999999999999</v>
      </c>
    </row>
    <row r="116" spans="3:18" ht="20.25">
      <c r="C116" s="169"/>
      <c r="D116" s="164" t="s">
        <v>647</v>
      </c>
      <c r="E116" s="162"/>
      <c r="F116" s="172"/>
      <c r="G116" s="172"/>
      <c r="H116" s="172"/>
      <c r="I116" s="162">
        <f>2.69*2</f>
        <v>5.38</v>
      </c>
      <c r="J116" s="164"/>
      <c r="K116" s="162"/>
      <c r="L116" s="163"/>
      <c r="M116" s="164"/>
      <c r="N116" s="163">
        <f>1.4*2</f>
        <v>2.8</v>
      </c>
      <c r="O116" s="164"/>
      <c r="P116" s="173">
        <v>2.8</v>
      </c>
      <c r="Q116" s="173"/>
      <c r="R116" s="163">
        <f t="shared" si="1"/>
        <v>2.4599999999999991</v>
      </c>
    </row>
    <row r="117" spans="3:18" ht="20.25">
      <c r="C117" s="169"/>
      <c r="D117" s="164" t="s">
        <v>816</v>
      </c>
      <c r="E117" s="162"/>
      <c r="F117" s="172"/>
      <c r="G117" s="172"/>
      <c r="H117" s="172"/>
      <c r="I117" s="162"/>
      <c r="J117" s="164"/>
      <c r="K117" s="162"/>
      <c r="L117" s="163"/>
      <c r="M117" s="164"/>
      <c r="N117" s="163">
        <f>4.1*2</f>
        <v>8.1999999999999993</v>
      </c>
      <c r="O117" s="164"/>
      <c r="P117" s="173">
        <v>2.8</v>
      </c>
      <c r="Q117" s="173"/>
      <c r="R117" s="163">
        <f t="shared" si="1"/>
        <v>22.959999999999997</v>
      </c>
    </row>
    <row r="118" spans="3:18" ht="20.25">
      <c r="C118" s="169"/>
      <c r="D118" s="164" t="s">
        <v>648</v>
      </c>
      <c r="E118" s="162"/>
      <c r="F118" s="172"/>
      <c r="G118" s="172"/>
      <c r="H118" s="172"/>
      <c r="I118" s="185"/>
      <c r="J118" s="164"/>
      <c r="K118" s="162"/>
      <c r="L118" s="163"/>
      <c r="M118" s="164"/>
      <c r="N118" s="163">
        <f>4.6*3</f>
        <v>13.799999999999999</v>
      </c>
      <c r="O118" s="164"/>
      <c r="P118" s="173">
        <v>2.8</v>
      </c>
      <c r="Q118" s="173"/>
      <c r="R118" s="163">
        <f t="shared" si="1"/>
        <v>38.639999999999993</v>
      </c>
    </row>
    <row r="119" spans="3:18" ht="20.25">
      <c r="C119" s="169"/>
      <c r="D119" s="164" t="s">
        <v>649</v>
      </c>
      <c r="E119" s="162"/>
      <c r="F119" s="172"/>
      <c r="G119" s="172"/>
      <c r="H119" s="172"/>
      <c r="I119" s="185"/>
      <c r="J119" s="164"/>
      <c r="K119" s="162"/>
      <c r="L119" s="163"/>
      <c r="M119" s="164"/>
      <c r="N119" s="163">
        <v>3.1</v>
      </c>
      <c r="O119" s="164"/>
      <c r="P119" s="173">
        <v>1.1000000000000001</v>
      </c>
      <c r="Q119" s="173"/>
      <c r="R119" s="163">
        <f t="shared" si="1"/>
        <v>3.4100000000000006</v>
      </c>
    </row>
    <row r="120" spans="3:18" ht="20.25">
      <c r="C120" s="169"/>
      <c r="D120" s="164" t="s">
        <v>866</v>
      </c>
      <c r="E120" s="162"/>
      <c r="F120" s="172"/>
      <c r="G120" s="172"/>
      <c r="H120" s="172"/>
      <c r="I120" s="185"/>
      <c r="J120" s="164"/>
      <c r="K120" s="162"/>
      <c r="L120" s="163"/>
      <c r="M120" s="164"/>
      <c r="N120" s="163">
        <v>60</v>
      </c>
      <c r="O120" s="164"/>
      <c r="P120" s="173">
        <v>1.1000000000000001</v>
      </c>
      <c r="Q120" s="173"/>
      <c r="R120" s="163">
        <f t="shared" si="1"/>
        <v>66</v>
      </c>
    </row>
    <row r="121" spans="3:18" ht="20.25">
      <c r="C121" s="169"/>
      <c r="D121" s="164" t="s">
        <v>815</v>
      </c>
      <c r="E121" s="162"/>
      <c r="F121" s="172"/>
      <c r="G121" s="172"/>
      <c r="H121" s="172"/>
      <c r="I121" s="185"/>
      <c r="J121" s="164"/>
      <c r="K121" s="162"/>
      <c r="L121" s="163"/>
      <c r="M121" s="164"/>
      <c r="N121" s="163">
        <v>64.099999999999994</v>
      </c>
      <c r="O121" s="164"/>
      <c r="P121" s="173">
        <v>1.1000000000000001</v>
      </c>
      <c r="Q121" s="173"/>
      <c r="R121" s="163">
        <f t="shared" si="1"/>
        <v>70.510000000000005</v>
      </c>
    </row>
    <row r="122" spans="3:18" ht="20.25">
      <c r="C122" s="169"/>
      <c r="D122" s="189" t="s">
        <v>651</v>
      </c>
      <c r="E122" s="162"/>
      <c r="F122" s="172"/>
      <c r="G122" s="172"/>
      <c r="H122" s="172"/>
      <c r="I122" s="185"/>
      <c r="J122" s="164"/>
      <c r="K122" s="162"/>
      <c r="L122" s="163"/>
      <c r="M122" s="164"/>
      <c r="N122" s="163">
        <v>156</v>
      </c>
      <c r="O122" s="164"/>
      <c r="P122" s="173">
        <v>1.1499999999999999</v>
      </c>
      <c r="Q122" s="173"/>
      <c r="R122" s="163">
        <f>N122*P122-I122</f>
        <v>179.39999999999998</v>
      </c>
    </row>
    <row r="123" spans="3:18" ht="20.25">
      <c r="C123" s="169"/>
      <c r="D123" s="164"/>
      <c r="E123" s="162"/>
      <c r="F123" s="172"/>
      <c r="G123" s="172"/>
      <c r="H123" s="172"/>
      <c r="I123" s="172"/>
      <c r="J123" s="164"/>
      <c r="K123" s="162"/>
      <c r="L123" s="163"/>
      <c r="M123" s="164"/>
      <c r="N123" s="163"/>
      <c r="O123" s="164"/>
      <c r="P123" s="173"/>
      <c r="Q123" s="173"/>
      <c r="R123" s="163"/>
    </row>
    <row r="124" spans="3:18" ht="48.75" customHeight="1">
      <c r="C124" s="169" t="s">
        <v>66</v>
      </c>
      <c r="D124" s="637" t="s">
        <v>700</v>
      </c>
      <c r="E124" s="637"/>
      <c r="F124" s="637"/>
      <c r="G124" s="637"/>
      <c r="H124" s="637"/>
      <c r="I124" s="637"/>
      <c r="J124" s="637"/>
      <c r="K124" s="637"/>
      <c r="L124" s="636" t="s">
        <v>623</v>
      </c>
      <c r="M124" s="636"/>
      <c r="N124" s="636"/>
      <c r="O124" s="152"/>
      <c r="P124" s="153">
        <f>SUM(R126)</f>
        <v>7.5600000000000005</v>
      </c>
      <c r="Q124" s="153"/>
      <c r="R124" s="154" t="s">
        <v>9</v>
      </c>
    </row>
    <row r="125" spans="3:18" ht="20.25">
      <c r="C125" s="169"/>
      <c r="D125" s="155" t="s">
        <v>640</v>
      </c>
      <c r="E125" s="170"/>
      <c r="F125" s="170"/>
      <c r="G125" s="170"/>
      <c r="H125" s="170"/>
      <c r="I125" s="156"/>
      <c r="J125" s="161"/>
      <c r="K125" s="161"/>
      <c r="L125" s="156"/>
      <c r="M125" s="152"/>
      <c r="N125" s="156" t="s">
        <v>625</v>
      </c>
      <c r="O125" s="152"/>
      <c r="P125" s="156" t="s">
        <v>639</v>
      </c>
      <c r="Q125" s="153"/>
      <c r="R125" s="157" t="s">
        <v>626</v>
      </c>
    </row>
    <row r="126" spans="3:18" ht="20.25">
      <c r="C126" s="169"/>
      <c r="D126" s="164" t="s">
        <v>684</v>
      </c>
      <c r="E126" s="162"/>
      <c r="F126" s="172"/>
      <c r="G126" s="172"/>
      <c r="H126" s="172"/>
      <c r="I126" s="162"/>
      <c r="J126" s="164"/>
      <c r="K126" s="162"/>
      <c r="L126" s="163"/>
      <c r="M126" s="164"/>
      <c r="N126" s="163">
        <f>(1.4*2)+0.6+0.8</f>
        <v>4.2</v>
      </c>
      <c r="O126" s="164"/>
      <c r="P126" s="173">
        <v>1.8</v>
      </c>
      <c r="Q126" s="173"/>
      <c r="R126" s="163">
        <f>N126*P126</f>
        <v>7.5600000000000005</v>
      </c>
    </row>
    <row r="127" spans="3:18" ht="20.25">
      <c r="C127" s="169"/>
      <c r="D127" s="164"/>
      <c r="E127" s="162"/>
      <c r="F127" s="172"/>
      <c r="G127" s="172"/>
      <c r="H127" s="172"/>
      <c r="I127" s="162"/>
      <c r="J127" s="164"/>
      <c r="K127" s="162"/>
      <c r="L127" s="163"/>
      <c r="M127" s="164"/>
      <c r="N127" s="163"/>
      <c r="O127" s="164"/>
      <c r="P127" s="173"/>
      <c r="Q127" s="173"/>
      <c r="R127" s="163"/>
    </row>
    <row r="128" spans="3:18" ht="48" customHeight="1">
      <c r="C128" s="174" t="s">
        <v>67</v>
      </c>
      <c r="D128" s="654" t="s">
        <v>712</v>
      </c>
      <c r="E128" s="655"/>
      <c r="F128" s="655"/>
      <c r="G128" s="655"/>
      <c r="H128" s="655"/>
      <c r="I128" s="655"/>
      <c r="J128" s="655"/>
      <c r="K128" s="656"/>
      <c r="L128" s="641" t="s">
        <v>623</v>
      </c>
      <c r="M128" s="641"/>
      <c r="N128" s="641"/>
      <c r="O128" s="226"/>
      <c r="P128" s="226">
        <f>R130</f>
        <v>349.0328571428571</v>
      </c>
      <c r="Q128" s="183"/>
      <c r="R128" s="226" t="s">
        <v>9</v>
      </c>
    </row>
    <row r="129" spans="2:20" ht="20.25">
      <c r="C129" s="169"/>
      <c r="D129" s="166" t="s">
        <v>462</v>
      </c>
      <c r="E129" s="228"/>
      <c r="F129" s="228"/>
      <c r="G129" s="228"/>
      <c r="H129" s="228"/>
      <c r="I129" s="228"/>
      <c r="J129" s="228"/>
      <c r="K129" s="228"/>
      <c r="L129" s="186"/>
      <c r="M129" s="226"/>
      <c r="N129" s="156"/>
      <c r="O129" s="152"/>
      <c r="P129" s="156"/>
      <c r="Q129" s="153"/>
      <c r="R129" s="156" t="s">
        <v>625</v>
      </c>
      <c r="S129" s="203">
        <f>S112+S102</f>
        <v>977.2919999999998</v>
      </c>
      <c r="T129" s="203"/>
    </row>
    <row r="130" spans="2:20" ht="20.25">
      <c r="C130" s="187"/>
      <c r="D130" s="158"/>
      <c r="E130" s="171"/>
      <c r="F130" s="185"/>
      <c r="G130" s="185"/>
      <c r="H130" s="185"/>
      <c r="I130" s="185"/>
      <c r="J130" s="164"/>
      <c r="K130" s="162"/>
      <c r="L130" s="164"/>
      <c r="M130" s="164"/>
      <c r="N130" s="164"/>
      <c r="O130" s="164"/>
      <c r="P130" s="164"/>
      <c r="Q130" s="173"/>
      <c r="R130" s="164">
        <f>S129/2.8</f>
        <v>349.0328571428571</v>
      </c>
    </row>
    <row r="131" spans="2:20" ht="20.25">
      <c r="C131" s="187"/>
      <c r="D131" s="158"/>
      <c r="E131" s="171"/>
      <c r="F131" s="185"/>
      <c r="G131" s="185"/>
      <c r="H131" s="185"/>
      <c r="I131" s="185"/>
      <c r="J131" s="164"/>
      <c r="K131" s="162"/>
      <c r="L131" s="164"/>
      <c r="M131" s="164"/>
      <c r="N131" s="164"/>
      <c r="O131" s="164"/>
      <c r="P131" s="164"/>
      <c r="Q131" s="173"/>
      <c r="R131" s="164"/>
    </row>
    <row r="132" spans="2:20" ht="42.75" customHeight="1">
      <c r="C132" s="169" t="s">
        <v>120</v>
      </c>
      <c r="D132" s="637" t="s">
        <v>803</v>
      </c>
      <c r="E132" s="637"/>
      <c r="F132" s="637"/>
      <c r="G132" s="637"/>
      <c r="H132" s="637"/>
      <c r="I132" s="637"/>
      <c r="J132" s="637"/>
      <c r="K132" s="637"/>
      <c r="L132" s="636" t="s">
        <v>623</v>
      </c>
      <c r="M132" s="636"/>
      <c r="N132" s="636"/>
      <c r="O132" s="152"/>
      <c r="P132" s="183">
        <f>SUM(R134:R134)</f>
        <v>156</v>
      </c>
      <c r="Q132" s="153"/>
      <c r="R132" s="154" t="s">
        <v>11</v>
      </c>
    </row>
    <row r="133" spans="2:20" ht="20.25">
      <c r="C133" s="169"/>
      <c r="D133" s="155" t="s">
        <v>640</v>
      </c>
      <c r="E133" s="170"/>
      <c r="F133" s="170"/>
      <c r="G133" s="170"/>
      <c r="H133" s="170"/>
      <c r="I133" s="170"/>
      <c r="J133" s="161"/>
      <c r="K133" s="161"/>
      <c r="L133" s="156"/>
      <c r="M133" s="152"/>
      <c r="N133" s="156"/>
      <c r="O133" s="152"/>
      <c r="P133" s="156"/>
      <c r="Q133" s="153"/>
      <c r="R133" s="156" t="s">
        <v>625</v>
      </c>
    </row>
    <row r="134" spans="2:20" ht="20.25">
      <c r="C134" s="169"/>
      <c r="D134" s="196" t="s">
        <v>651</v>
      </c>
      <c r="E134" s="162"/>
      <c r="F134" s="172"/>
      <c r="G134" s="172"/>
      <c r="H134" s="172"/>
      <c r="I134" s="172"/>
      <c r="J134" s="164"/>
      <c r="K134" s="162"/>
      <c r="L134" s="163"/>
      <c r="M134" s="164"/>
      <c r="N134" s="163"/>
      <c r="O134" s="164"/>
      <c r="P134" s="173"/>
      <c r="Q134" s="173"/>
      <c r="R134" s="163">
        <v>156</v>
      </c>
    </row>
    <row r="135" spans="2:20" ht="20.25">
      <c r="B135" s="61"/>
      <c r="C135" s="169"/>
      <c r="D135" s="196"/>
      <c r="E135" s="162"/>
      <c r="F135" s="172"/>
      <c r="G135" s="172"/>
      <c r="H135" s="172"/>
      <c r="I135" s="172"/>
      <c r="J135" s="164"/>
      <c r="K135" s="162"/>
      <c r="L135" s="163"/>
      <c r="M135" s="164"/>
      <c r="N135" s="163"/>
      <c r="O135" s="164"/>
      <c r="P135" s="173"/>
      <c r="Q135" s="173"/>
      <c r="R135" s="163"/>
    </row>
    <row r="136" spans="2:20" ht="20.25">
      <c r="C136" s="168" t="s">
        <v>181</v>
      </c>
      <c r="D136" s="662" t="s">
        <v>656</v>
      </c>
      <c r="E136" s="663"/>
      <c r="F136" s="663"/>
      <c r="G136" s="663"/>
      <c r="H136" s="663"/>
      <c r="I136" s="663"/>
      <c r="J136" s="663"/>
      <c r="K136" s="663"/>
      <c r="L136" s="663"/>
      <c r="M136" s="663"/>
      <c r="N136" s="663"/>
      <c r="O136" s="663"/>
      <c r="P136" s="663"/>
      <c r="Q136" s="663"/>
      <c r="R136" s="664"/>
    </row>
    <row r="137" spans="2:20" s="221" customFormat="1" ht="20.25">
      <c r="C137" s="174" t="s">
        <v>126</v>
      </c>
      <c r="D137" s="665" t="s">
        <v>698</v>
      </c>
      <c r="E137" s="665"/>
      <c r="F137" s="665"/>
      <c r="G137" s="665"/>
      <c r="H137" s="665"/>
      <c r="I137" s="665"/>
      <c r="J137" s="665"/>
      <c r="K137" s="665"/>
      <c r="L137" s="641" t="s">
        <v>623</v>
      </c>
      <c r="M137" s="641"/>
      <c r="N137" s="641"/>
      <c r="O137" s="311"/>
      <c r="P137" s="183">
        <f>SUM(R140:R145)</f>
        <v>179.64</v>
      </c>
      <c r="Q137" s="183"/>
      <c r="R137" s="184" t="s">
        <v>9</v>
      </c>
    </row>
    <row r="138" spans="2:20" s="221" customFormat="1" ht="20.25">
      <c r="C138" s="174"/>
      <c r="D138" s="158" t="s">
        <v>640</v>
      </c>
      <c r="E138" s="312"/>
      <c r="F138" s="312"/>
      <c r="G138" s="312"/>
      <c r="H138" s="312"/>
      <c r="I138" s="372" t="s">
        <v>645</v>
      </c>
      <c r="J138" s="373"/>
      <c r="K138" s="373"/>
      <c r="L138" s="186" t="s">
        <v>638</v>
      </c>
      <c r="M138" s="311"/>
      <c r="N138" s="186" t="s">
        <v>625</v>
      </c>
      <c r="O138" s="311"/>
      <c r="P138" s="186" t="s">
        <v>639</v>
      </c>
      <c r="Q138" s="183"/>
      <c r="R138" s="188" t="s">
        <v>626</v>
      </c>
    </row>
    <row r="139" spans="2:20" s="221" customFormat="1" ht="20.25">
      <c r="C139" s="174"/>
      <c r="D139" s="312" t="s">
        <v>1205</v>
      </c>
      <c r="E139" s="312"/>
      <c r="F139" s="312"/>
      <c r="G139" s="312"/>
      <c r="H139" s="312"/>
      <c r="I139" s="372"/>
      <c r="J139" s="373"/>
      <c r="K139" s="373"/>
      <c r="L139" s="186"/>
      <c r="M139" s="311"/>
      <c r="N139" s="186"/>
      <c r="O139" s="311"/>
      <c r="P139" s="186"/>
      <c r="Q139" s="183"/>
      <c r="R139" s="188"/>
    </row>
    <row r="140" spans="2:20" ht="20.25">
      <c r="C140" s="169"/>
      <c r="D140" s="176" t="s">
        <v>809</v>
      </c>
      <c r="E140" s="162"/>
      <c r="F140" s="172"/>
      <c r="G140" s="172"/>
      <c r="H140" s="172"/>
      <c r="I140" s="162">
        <f>(0.75+2.69)</f>
        <v>3.44</v>
      </c>
      <c r="J140" s="164"/>
      <c r="K140" s="162"/>
      <c r="L140" s="163">
        <v>2</v>
      </c>
      <c r="M140" s="164"/>
      <c r="N140" s="163">
        <v>19.2</v>
      </c>
      <c r="O140" s="164"/>
      <c r="P140" s="173">
        <v>2.8</v>
      </c>
      <c r="Q140" s="173"/>
      <c r="R140" s="163">
        <f>L140*N140*P140-I140</f>
        <v>104.08</v>
      </c>
    </row>
    <row r="141" spans="2:20" ht="21" customHeight="1">
      <c r="C141" s="169"/>
      <c r="D141" s="176" t="s">
        <v>818</v>
      </c>
      <c r="E141" s="162"/>
      <c r="F141" s="172"/>
      <c r="G141" s="172"/>
      <c r="H141" s="172"/>
      <c r="I141" s="162">
        <f>(0.75+2.69)</f>
        <v>3.44</v>
      </c>
      <c r="J141" s="164"/>
      <c r="K141" s="162"/>
      <c r="L141" s="163">
        <v>2</v>
      </c>
      <c r="M141" s="164"/>
      <c r="N141" s="163">
        <v>7.6</v>
      </c>
      <c r="O141" s="164"/>
      <c r="P141" s="173">
        <v>2.8</v>
      </c>
      <c r="Q141" s="173"/>
      <c r="R141" s="163">
        <f>L141*N141*P141-I141</f>
        <v>39.119999999999997</v>
      </c>
    </row>
    <row r="142" spans="2:20" ht="21" customHeight="1">
      <c r="C142" s="169"/>
      <c r="D142" s="176"/>
      <c r="E142" s="162"/>
      <c r="F142" s="172"/>
      <c r="G142" s="172"/>
      <c r="H142" s="172"/>
      <c r="I142" s="162"/>
      <c r="J142" s="164"/>
      <c r="K142" s="162"/>
      <c r="L142" s="163"/>
      <c r="M142" s="164"/>
      <c r="N142" s="163"/>
      <c r="O142" s="164"/>
      <c r="P142" s="173"/>
      <c r="Q142" s="173"/>
      <c r="R142" s="163"/>
    </row>
    <row r="143" spans="2:20" s="221" customFormat="1" ht="20.25">
      <c r="C143" s="174"/>
      <c r="D143" s="340" t="s">
        <v>1206</v>
      </c>
      <c r="E143" s="171"/>
      <c r="F143" s="175"/>
      <c r="G143" s="175"/>
      <c r="H143" s="175"/>
      <c r="I143" s="175"/>
      <c r="J143" s="176"/>
      <c r="K143" s="171"/>
      <c r="L143" s="177"/>
      <c r="M143" s="176"/>
      <c r="N143" s="188" t="s">
        <v>626</v>
      </c>
      <c r="O143" s="176"/>
      <c r="P143" s="178"/>
      <c r="Q143" s="178"/>
      <c r="R143" s="177"/>
    </row>
    <row r="144" spans="2:20" s="221" customFormat="1" ht="20.25">
      <c r="C144" s="174"/>
      <c r="D144" s="176" t="s">
        <v>829</v>
      </c>
      <c r="E144" s="171"/>
      <c r="F144" s="175"/>
      <c r="G144" s="175"/>
      <c r="H144" s="175"/>
      <c r="I144" s="175"/>
      <c r="J144" s="176"/>
      <c r="K144" s="171"/>
      <c r="L144" s="177">
        <v>2</v>
      </c>
      <c r="M144" s="176"/>
      <c r="N144" s="177">
        <v>14.7</v>
      </c>
      <c r="O144" s="176"/>
      <c r="P144" s="178"/>
      <c r="Q144" s="178"/>
      <c r="R144" s="163">
        <f>L144*N144</f>
        <v>29.4</v>
      </c>
    </row>
    <row r="145" spans="2:18" s="221" customFormat="1" ht="20.25">
      <c r="C145" s="174"/>
      <c r="D145" s="176" t="s">
        <v>862</v>
      </c>
      <c r="E145" s="171"/>
      <c r="F145" s="175"/>
      <c r="G145" s="175"/>
      <c r="H145" s="175"/>
      <c r="I145" s="175"/>
      <c r="J145" s="176"/>
      <c r="K145" s="171"/>
      <c r="L145" s="177">
        <v>2</v>
      </c>
      <c r="M145" s="176"/>
      <c r="N145" s="177">
        <v>3.52</v>
      </c>
      <c r="O145" s="176"/>
      <c r="P145" s="178"/>
      <c r="Q145" s="178"/>
      <c r="R145" s="163">
        <f>L145*N145</f>
        <v>7.04</v>
      </c>
    </row>
    <row r="146" spans="2:18" s="221" customFormat="1" ht="20.25">
      <c r="C146" s="174"/>
      <c r="D146" s="176"/>
      <c r="E146" s="171"/>
      <c r="F146" s="175"/>
      <c r="G146" s="175"/>
      <c r="H146" s="175"/>
      <c r="I146" s="175"/>
      <c r="J146" s="176"/>
      <c r="K146" s="171"/>
      <c r="L146" s="177"/>
      <c r="M146" s="176"/>
      <c r="N146" s="177"/>
      <c r="O146" s="176"/>
      <c r="P146" s="178"/>
      <c r="Q146" s="178"/>
      <c r="R146" s="177"/>
    </row>
    <row r="147" spans="2:18" ht="42.75" customHeight="1">
      <c r="C147" s="169" t="s">
        <v>1207</v>
      </c>
      <c r="D147" s="637" t="s">
        <v>697</v>
      </c>
      <c r="E147" s="637"/>
      <c r="F147" s="637"/>
      <c r="G147" s="637"/>
      <c r="H147" s="637"/>
      <c r="I147" s="637"/>
      <c r="J147" s="637"/>
      <c r="K147" s="637"/>
      <c r="L147" s="636" t="s">
        <v>623</v>
      </c>
      <c r="M147" s="636"/>
      <c r="N147" s="636"/>
      <c r="O147" s="152"/>
      <c r="P147" s="183">
        <f>SUM(R149:R150)</f>
        <v>182.76</v>
      </c>
      <c r="Q147" s="153"/>
      <c r="R147" s="154" t="s">
        <v>9</v>
      </c>
    </row>
    <row r="148" spans="2:18" ht="20.25">
      <c r="C148" s="169"/>
      <c r="D148" s="155" t="s">
        <v>640</v>
      </c>
      <c r="E148" s="170"/>
      <c r="F148" s="170"/>
      <c r="G148" s="170"/>
      <c r="H148" s="170"/>
      <c r="I148" s="170"/>
      <c r="J148" s="161"/>
      <c r="K148" s="161"/>
      <c r="L148" s="156" t="s">
        <v>638</v>
      </c>
      <c r="M148" s="152"/>
      <c r="N148" s="156" t="s">
        <v>625</v>
      </c>
      <c r="O148" s="152"/>
      <c r="P148" s="156" t="s">
        <v>713</v>
      </c>
      <c r="Q148" s="153"/>
      <c r="R148" s="188" t="s">
        <v>626</v>
      </c>
    </row>
    <row r="149" spans="2:18" ht="20.25">
      <c r="C149" s="169"/>
      <c r="D149" s="196" t="s">
        <v>1208</v>
      </c>
      <c r="E149" s="162"/>
      <c r="F149" s="172"/>
      <c r="G149" s="172"/>
      <c r="H149" s="172"/>
      <c r="I149" s="172"/>
      <c r="J149" s="164"/>
      <c r="K149" s="162"/>
      <c r="L149" s="163">
        <v>1</v>
      </c>
      <c r="M149" s="164"/>
      <c r="N149" s="163">
        <v>60.92</v>
      </c>
      <c r="O149" s="164"/>
      <c r="P149" s="173">
        <v>1.7</v>
      </c>
      <c r="Q149" s="173"/>
      <c r="R149" s="163">
        <f>L149*N149*P149</f>
        <v>103.56400000000001</v>
      </c>
    </row>
    <row r="150" spans="2:18" ht="20.25">
      <c r="C150" s="169"/>
      <c r="D150" s="196" t="s">
        <v>1208</v>
      </c>
      <c r="E150" s="162"/>
      <c r="F150" s="172"/>
      <c r="G150" s="172"/>
      <c r="H150" s="172"/>
      <c r="I150" s="172"/>
      <c r="J150" s="164"/>
      <c r="K150" s="162"/>
      <c r="L150" s="163">
        <v>1</v>
      </c>
      <c r="M150" s="164"/>
      <c r="N150" s="163">
        <v>60.92</v>
      </c>
      <c r="O150" s="164"/>
      <c r="P150" s="173">
        <v>1.3</v>
      </c>
      <c r="Q150" s="173"/>
      <c r="R150" s="163">
        <f>L150*N150*P150</f>
        <v>79.195999999999998</v>
      </c>
    </row>
    <row r="151" spans="2:18" ht="20.25">
      <c r="B151" s="61"/>
      <c r="C151" s="169"/>
      <c r="D151" s="196"/>
      <c r="E151" s="162"/>
      <c r="F151" s="172"/>
      <c r="G151" s="172"/>
      <c r="H151" s="172"/>
      <c r="I151" s="172"/>
      <c r="J151" s="164"/>
      <c r="K151" s="162"/>
      <c r="L151" s="163"/>
      <c r="M151" s="164"/>
      <c r="N151" s="163"/>
      <c r="O151" s="164"/>
      <c r="P151" s="173"/>
      <c r="Q151" s="173"/>
      <c r="R151" s="163"/>
    </row>
    <row r="152" spans="2:18" ht="42.75" customHeight="1">
      <c r="C152" s="169" t="s">
        <v>127</v>
      </c>
      <c r="D152" s="637" t="s">
        <v>695</v>
      </c>
      <c r="E152" s="637"/>
      <c r="F152" s="637"/>
      <c r="G152" s="637"/>
      <c r="H152" s="637"/>
      <c r="I152" s="637"/>
      <c r="J152" s="637"/>
      <c r="K152" s="637"/>
      <c r="L152" s="636" t="s">
        <v>623</v>
      </c>
      <c r="M152" s="636"/>
      <c r="N152" s="636"/>
      <c r="O152" s="152"/>
      <c r="P152" s="183">
        <f>SUM(R154:R155)</f>
        <v>16</v>
      </c>
      <c r="Q152" s="153"/>
      <c r="R152" s="154" t="s">
        <v>11</v>
      </c>
    </row>
    <row r="153" spans="2:18" ht="20.25">
      <c r="C153" s="169"/>
      <c r="D153" s="155" t="s">
        <v>640</v>
      </c>
      <c r="E153" s="170"/>
      <c r="F153" s="170"/>
      <c r="G153" s="170"/>
      <c r="H153" s="170"/>
      <c r="I153" s="170"/>
      <c r="J153" s="161"/>
      <c r="K153" s="161"/>
      <c r="L153" s="156"/>
      <c r="M153" s="152"/>
      <c r="N153" s="156"/>
      <c r="O153" s="152"/>
      <c r="P153" s="156"/>
      <c r="Q153" s="153"/>
      <c r="R153" s="156" t="s">
        <v>625</v>
      </c>
    </row>
    <row r="154" spans="2:18" s="221" customFormat="1" ht="20.25">
      <c r="C154" s="174"/>
      <c r="D154" s="176" t="s">
        <v>1231</v>
      </c>
      <c r="E154" s="171"/>
      <c r="F154" s="175"/>
      <c r="G154" s="175"/>
      <c r="H154" s="175"/>
      <c r="I154" s="175"/>
      <c r="J154" s="176"/>
      <c r="K154" s="171"/>
      <c r="L154" s="177"/>
      <c r="M154" s="176"/>
      <c r="N154" s="177"/>
      <c r="O154" s="176"/>
      <c r="P154" s="178"/>
      <c r="Q154" s="178"/>
      <c r="R154" s="177">
        <v>16</v>
      </c>
    </row>
    <row r="155" spans="2:18" s="221" customFormat="1" ht="20.25">
      <c r="C155" s="174"/>
      <c r="D155" s="176"/>
      <c r="E155" s="171"/>
      <c r="F155" s="175"/>
      <c r="G155" s="175"/>
      <c r="H155" s="175"/>
      <c r="I155" s="175"/>
      <c r="J155" s="176"/>
      <c r="K155" s="171"/>
      <c r="L155" s="177"/>
      <c r="M155" s="176"/>
      <c r="N155" s="177"/>
      <c r="O155" s="176"/>
      <c r="P155" s="178"/>
      <c r="Q155" s="178"/>
      <c r="R155" s="177"/>
    </row>
    <row r="156" spans="2:18" s="221" customFormat="1" ht="20.25">
      <c r="C156" s="174"/>
      <c r="D156" s="176"/>
      <c r="E156" s="171"/>
      <c r="F156" s="175"/>
      <c r="G156" s="175"/>
      <c r="H156" s="175"/>
      <c r="I156" s="175"/>
      <c r="J156" s="176"/>
      <c r="K156" s="171"/>
      <c r="L156" s="177"/>
      <c r="M156" s="176"/>
      <c r="N156" s="177"/>
      <c r="O156" s="176"/>
      <c r="P156" s="178"/>
      <c r="Q156" s="178"/>
      <c r="R156" s="177"/>
    </row>
    <row r="157" spans="2:18" ht="42.75" customHeight="1">
      <c r="C157" s="169" t="s">
        <v>182</v>
      </c>
      <c r="D157" s="637" t="s">
        <v>221</v>
      </c>
      <c r="E157" s="637"/>
      <c r="F157" s="637"/>
      <c r="G157" s="637"/>
      <c r="H157" s="637"/>
      <c r="I157" s="637"/>
      <c r="J157" s="637"/>
      <c r="K157" s="637"/>
      <c r="L157" s="636" t="s">
        <v>623</v>
      </c>
      <c r="M157" s="636"/>
      <c r="N157" s="636"/>
      <c r="O157" s="152"/>
      <c r="P157" s="183">
        <f>SUM(R159:R160)</f>
        <v>372.3467</v>
      </c>
      <c r="Q157" s="153"/>
      <c r="R157" s="154" t="s">
        <v>11</v>
      </c>
    </row>
    <row r="158" spans="2:18" ht="20.25">
      <c r="C158" s="169"/>
      <c r="D158" s="155" t="s">
        <v>640</v>
      </c>
      <c r="E158" s="170"/>
      <c r="F158" s="170"/>
      <c r="G158" s="170"/>
      <c r="H158" s="170"/>
      <c r="I158" s="170"/>
      <c r="J158" s="161"/>
      <c r="K158" s="161"/>
      <c r="L158" s="156"/>
      <c r="M158" s="152"/>
      <c r="N158" s="156" t="s">
        <v>625</v>
      </c>
      <c r="O158" s="152"/>
      <c r="P158" s="156" t="s">
        <v>713</v>
      </c>
      <c r="Q158" s="153"/>
      <c r="R158" s="188" t="s">
        <v>626</v>
      </c>
    </row>
    <row r="159" spans="2:18" s="221" customFormat="1" ht="20.25">
      <c r="C159" s="174"/>
      <c r="D159" s="176"/>
      <c r="E159" s="171"/>
      <c r="F159" s="175"/>
      <c r="G159" s="175"/>
      <c r="H159" s="175"/>
      <c r="I159" s="175"/>
      <c r="J159" s="176"/>
      <c r="K159" s="171"/>
      <c r="L159" s="177"/>
      <c r="M159" s="176"/>
      <c r="N159" s="177">
        <f>'Memoria estrutural'!D19</f>
        <v>338.49699999999996</v>
      </c>
      <c r="O159" s="176"/>
      <c r="P159" s="178">
        <v>1.1000000000000001</v>
      </c>
      <c r="Q159" s="178"/>
      <c r="R159" s="177">
        <f>N159*P159</f>
        <v>372.3467</v>
      </c>
    </row>
    <row r="160" spans="2:18" s="221" customFormat="1" ht="20.25">
      <c r="C160" s="174"/>
      <c r="D160" s="176"/>
      <c r="E160" s="171"/>
      <c r="F160" s="175"/>
      <c r="G160" s="175"/>
      <c r="H160" s="175"/>
      <c r="I160" s="175"/>
      <c r="J160" s="176"/>
      <c r="K160" s="171"/>
      <c r="L160" s="177"/>
      <c r="M160" s="176"/>
      <c r="N160" s="177"/>
      <c r="O160" s="176"/>
      <c r="P160" s="178"/>
      <c r="Q160" s="178"/>
      <c r="R160" s="177"/>
    </row>
    <row r="161" spans="2:18" ht="20.25">
      <c r="C161" s="168" t="s">
        <v>183</v>
      </c>
      <c r="D161" s="662" t="s">
        <v>657</v>
      </c>
      <c r="E161" s="663"/>
      <c r="F161" s="663"/>
      <c r="G161" s="663"/>
      <c r="H161" s="663"/>
      <c r="I161" s="663"/>
      <c r="J161" s="663"/>
      <c r="K161" s="663"/>
      <c r="L161" s="663"/>
      <c r="M161" s="663"/>
      <c r="N161" s="663"/>
      <c r="O161" s="663"/>
      <c r="P161" s="663"/>
      <c r="Q161" s="663"/>
      <c r="R161" s="664"/>
    </row>
    <row r="162" spans="2:18" ht="74.25" customHeight="1">
      <c r="C162" s="169" t="s">
        <v>14</v>
      </c>
      <c r="D162" s="637" t="s">
        <v>694</v>
      </c>
      <c r="E162" s="637"/>
      <c r="F162" s="637"/>
      <c r="G162" s="637"/>
      <c r="H162" s="637"/>
      <c r="I162" s="637"/>
      <c r="J162" s="637"/>
      <c r="K162" s="637"/>
      <c r="L162" s="636" t="s">
        <v>623</v>
      </c>
      <c r="M162" s="636"/>
      <c r="N162" s="636"/>
      <c r="O162" s="152"/>
      <c r="P162" s="153">
        <f>SUM(R164:R165)</f>
        <v>787.38</v>
      </c>
      <c r="Q162" s="153"/>
      <c r="R162" s="154" t="s">
        <v>9</v>
      </c>
    </row>
    <row r="163" spans="2:18" ht="20.25">
      <c r="C163" s="169"/>
      <c r="D163" s="155" t="s">
        <v>640</v>
      </c>
      <c r="E163" s="170"/>
      <c r="F163" s="170"/>
      <c r="G163" s="170"/>
      <c r="H163" s="170"/>
      <c r="I163" s="170"/>
      <c r="J163" s="161"/>
      <c r="K163" s="161"/>
      <c r="L163" s="156"/>
      <c r="M163" s="152"/>
      <c r="N163" s="156" t="s">
        <v>625</v>
      </c>
      <c r="O163" s="152"/>
      <c r="P163" s="156" t="s">
        <v>713</v>
      </c>
      <c r="Q163" s="153"/>
      <c r="R163" s="157" t="s">
        <v>626</v>
      </c>
    </row>
    <row r="164" spans="2:18" ht="20.25">
      <c r="C164" s="169"/>
      <c r="D164" s="164" t="s">
        <v>1094</v>
      </c>
      <c r="E164" s="162"/>
      <c r="F164" s="172"/>
      <c r="G164" s="172"/>
      <c r="H164" s="172"/>
      <c r="I164" s="172"/>
      <c r="J164" s="164"/>
      <c r="K164" s="162"/>
      <c r="L164" s="163"/>
      <c r="M164" s="164"/>
      <c r="N164" s="163">
        <v>60.92</v>
      </c>
      <c r="O164" s="164"/>
      <c r="P164" s="173">
        <v>11.5</v>
      </c>
      <c r="Q164" s="173"/>
      <c r="R164" s="163">
        <f>N164*P164</f>
        <v>700.58</v>
      </c>
    </row>
    <row r="165" spans="2:18" ht="20.25">
      <c r="C165" s="169"/>
      <c r="D165" s="164" t="s">
        <v>1093</v>
      </c>
      <c r="E165" s="162"/>
      <c r="F165" s="172"/>
      <c r="G165" s="172"/>
      <c r="H165" s="172"/>
      <c r="I165" s="172"/>
      <c r="J165" s="164"/>
      <c r="K165" s="162"/>
      <c r="L165" s="163"/>
      <c r="M165" s="164"/>
      <c r="N165" s="163">
        <v>28</v>
      </c>
      <c r="O165" s="164"/>
      <c r="P165" s="173">
        <v>3.1</v>
      </c>
      <c r="Q165" s="173"/>
      <c r="R165" s="163">
        <f>N165*P165</f>
        <v>86.8</v>
      </c>
    </row>
    <row r="166" spans="2:18" ht="20.25">
      <c r="C166" s="169"/>
      <c r="D166" s="164"/>
      <c r="E166" s="162"/>
      <c r="F166" s="172"/>
      <c r="G166" s="172"/>
      <c r="H166" s="172"/>
      <c r="I166" s="172"/>
      <c r="J166" s="164"/>
      <c r="K166" s="162"/>
      <c r="L166" s="163"/>
      <c r="M166" s="164"/>
      <c r="N166" s="163"/>
      <c r="O166" s="164"/>
      <c r="P166" s="173"/>
      <c r="Q166" s="173"/>
      <c r="R166" s="163"/>
    </row>
    <row r="167" spans="2:18" ht="63" customHeight="1">
      <c r="C167" s="169" t="s">
        <v>45</v>
      </c>
      <c r="D167" s="637" t="s">
        <v>694</v>
      </c>
      <c r="E167" s="637"/>
      <c r="F167" s="637"/>
      <c r="G167" s="637"/>
      <c r="H167" s="637"/>
      <c r="I167" s="637"/>
      <c r="J167" s="637"/>
      <c r="K167" s="637"/>
      <c r="L167" s="636" t="s">
        <v>623</v>
      </c>
      <c r="M167" s="636"/>
      <c r="N167" s="636"/>
      <c r="O167" s="152"/>
      <c r="P167" s="183">
        <f>SUM(R169:R170)</f>
        <v>787.38</v>
      </c>
      <c r="Q167" s="153"/>
      <c r="R167" s="154" t="s">
        <v>9</v>
      </c>
    </row>
    <row r="168" spans="2:18" ht="20.25">
      <c r="C168" s="169"/>
      <c r="D168" s="155" t="s">
        <v>640</v>
      </c>
      <c r="E168" s="170"/>
      <c r="F168" s="170"/>
      <c r="G168" s="170"/>
      <c r="H168" s="170"/>
      <c r="I168" s="170"/>
      <c r="J168" s="161"/>
      <c r="K168" s="161"/>
      <c r="L168" s="156"/>
      <c r="M168" s="152"/>
      <c r="N168" s="156" t="s">
        <v>625</v>
      </c>
      <c r="O168" s="152"/>
      <c r="P168" s="156" t="s">
        <v>713</v>
      </c>
      <c r="Q168" s="153"/>
      <c r="R168" s="157" t="s">
        <v>626</v>
      </c>
    </row>
    <row r="169" spans="2:18" ht="20.25">
      <c r="C169" s="169"/>
      <c r="D169" s="164" t="s">
        <v>1094</v>
      </c>
      <c r="E169" s="162"/>
      <c r="F169" s="172"/>
      <c r="G169" s="172"/>
      <c r="H169" s="172"/>
      <c r="I169" s="172"/>
      <c r="J169" s="164"/>
      <c r="K169" s="162"/>
      <c r="L169" s="163"/>
      <c r="M169" s="164"/>
      <c r="N169" s="163">
        <v>60.92</v>
      </c>
      <c r="O169" s="164"/>
      <c r="P169" s="173">
        <v>11.5</v>
      </c>
      <c r="Q169" s="173"/>
      <c r="R169" s="163">
        <f>N169*P169</f>
        <v>700.58</v>
      </c>
    </row>
    <row r="170" spans="2:18" ht="20.25">
      <c r="C170" s="169"/>
      <c r="D170" s="164" t="s">
        <v>1093</v>
      </c>
      <c r="E170" s="162"/>
      <c r="F170" s="172"/>
      <c r="G170" s="172"/>
      <c r="H170" s="172"/>
      <c r="I170" s="172"/>
      <c r="J170" s="164"/>
      <c r="K170" s="162"/>
      <c r="L170" s="163"/>
      <c r="M170" s="164"/>
      <c r="N170" s="163">
        <v>28</v>
      </c>
      <c r="O170" s="164"/>
      <c r="P170" s="173">
        <v>3.1</v>
      </c>
      <c r="Q170" s="173"/>
      <c r="R170" s="163">
        <f>N170*P170</f>
        <v>86.8</v>
      </c>
    </row>
    <row r="171" spans="2:18" ht="20.25">
      <c r="B171" s="61"/>
      <c r="C171" s="169"/>
      <c r="D171" s="196"/>
      <c r="E171" s="162"/>
      <c r="F171" s="172"/>
      <c r="G171" s="172"/>
      <c r="H171" s="172"/>
      <c r="I171" s="172"/>
      <c r="J171" s="164"/>
      <c r="K171" s="162"/>
      <c r="L171" s="163"/>
      <c r="M171" s="164"/>
      <c r="N171" s="163"/>
      <c r="O171" s="164"/>
      <c r="P171" s="173"/>
      <c r="Q171" s="173"/>
      <c r="R171" s="163"/>
    </row>
    <row r="172" spans="2:18" ht="42.75" customHeight="1">
      <c r="C172" s="169" t="s">
        <v>65</v>
      </c>
      <c r="D172" s="637" t="s">
        <v>693</v>
      </c>
      <c r="E172" s="637"/>
      <c r="F172" s="637"/>
      <c r="G172" s="637"/>
      <c r="H172" s="637"/>
      <c r="I172" s="637"/>
      <c r="J172" s="637"/>
      <c r="K172" s="637"/>
      <c r="L172" s="636" t="s">
        <v>623</v>
      </c>
      <c r="M172" s="636"/>
      <c r="N172" s="636"/>
      <c r="O172" s="152"/>
      <c r="P172" s="183">
        <f>SUM(R174)</f>
        <v>60.92</v>
      </c>
      <c r="Q172" s="153"/>
      <c r="R172" s="154" t="s">
        <v>11</v>
      </c>
    </row>
    <row r="173" spans="2:18" ht="20.25">
      <c r="C173" s="169"/>
      <c r="D173" s="155" t="s">
        <v>640</v>
      </c>
      <c r="E173" s="170"/>
      <c r="F173" s="170"/>
      <c r="G173" s="170"/>
      <c r="H173" s="170"/>
      <c r="I173" s="170"/>
      <c r="J173" s="161"/>
      <c r="K173" s="161"/>
      <c r="L173" s="156"/>
      <c r="M173" s="152"/>
      <c r="N173" s="156"/>
      <c r="O173" s="152"/>
      <c r="P173" s="156"/>
      <c r="Q173" s="153"/>
      <c r="R173" s="156" t="s">
        <v>625</v>
      </c>
    </row>
    <row r="174" spans="2:18" ht="20.25">
      <c r="C174" s="169"/>
      <c r="D174" s="196" t="s">
        <v>714</v>
      </c>
      <c r="E174" s="162"/>
      <c r="F174" s="172"/>
      <c r="G174" s="172"/>
      <c r="H174" s="172"/>
      <c r="I174" s="172"/>
      <c r="J174" s="164"/>
      <c r="K174" s="162"/>
      <c r="L174" s="163"/>
      <c r="M174" s="164"/>
      <c r="N174" s="163"/>
      <c r="O174" s="164"/>
      <c r="P174" s="173"/>
      <c r="Q174" s="173"/>
      <c r="R174" s="163">
        <v>60.92</v>
      </c>
    </row>
    <row r="175" spans="2:18" ht="20.25">
      <c r="B175" s="61"/>
      <c r="C175" s="169"/>
      <c r="D175" s="196"/>
      <c r="E175" s="162"/>
      <c r="F175" s="172"/>
      <c r="G175" s="172"/>
      <c r="H175" s="172"/>
      <c r="I175" s="172"/>
      <c r="J175" s="164"/>
      <c r="K175" s="162"/>
      <c r="L175" s="163"/>
      <c r="M175" s="164"/>
      <c r="N175" s="163"/>
      <c r="O175" s="164"/>
      <c r="P175" s="173"/>
      <c r="Q175" s="173"/>
      <c r="R175" s="163"/>
    </row>
    <row r="176" spans="2:18" ht="42.75" customHeight="1">
      <c r="C176" s="169" t="s">
        <v>121</v>
      </c>
      <c r="D176" s="637" t="s">
        <v>222</v>
      </c>
      <c r="E176" s="637"/>
      <c r="F176" s="637"/>
      <c r="G176" s="637"/>
      <c r="H176" s="637"/>
      <c r="I176" s="637"/>
      <c r="J176" s="637"/>
      <c r="K176" s="637"/>
      <c r="L176" s="636" t="s">
        <v>623</v>
      </c>
      <c r="M176" s="636"/>
      <c r="N176" s="636"/>
      <c r="O176" s="152"/>
      <c r="P176" s="183">
        <f>SUM(R178:R179)</f>
        <v>182.76</v>
      </c>
      <c r="Q176" s="153"/>
      <c r="R176" s="154" t="s">
        <v>11</v>
      </c>
    </row>
    <row r="177" spans="2:18" ht="20.25">
      <c r="C177" s="169"/>
      <c r="D177" s="155" t="s">
        <v>640</v>
      </c>
      <c r="E177" s="170"/>
      <c r="F177" s="170"/>
      <c r="G177" s="170"/>
      <c r="H177" s="170"/>
      <c r="I177" s="170"/>
      <c r="J177" s="161"/>
      <c r="K177" s="161"/>
      <c r="L177" s="156" t="s">
        <v>638</v>
      </c>
      <c r="M177" s="152"/>
      <c r="N177" s="156" t="s">
        <v>625</v>
      </c>
      <c r="O177" s="152"/>
      <c r="P177" s="156" t="s">
        <v>713</v>
      </c>
      <c r="Q177" s="153"/>
      <c r="R177" s="156" t="s">
        <v>625</v>
      </c>
    </row>
    <row r="178" spans="2:18" ht="20.25">
      <c r="C178" s="169"/>
      <c r="D178" s="196" t="s">
        <v>714</v>
      </c>
      <c r="E178" s="162"/>
      <c r="F178" s="172"/>
      <c r="G178" s="172"/>
      <c r="H178" s="172"/>
      <c r="I178" s="172"/>
      <c r="J178" s="164"/>
      <c r="K178" s="162"/>
      <c r="L178" s="163">
        <v>1</v>
      </c>
      <c r="M178" s="164"/>
      <c r="N178" s="163">
        <v>60.92</v>
      </c>
      <c r="O178" s="164"/>
      <c r="P178" s="173">
        <v>1.7</v>
      </c>
      <c r="Q178" s="173"/>
      <c r="R178" s="163">
        <f>L178*N178*P178</f>
        <v>103.56400000000001</v>
      </c>
    </row>
    <row r="179" spans="2:18" ht="20.25">
      <c r="C179" s="169"/>
      <c r="D179" s="196" t="s">
        <v>714</v>
      </c>
      <c r="E179" s="162"/>
      <c r="F179" s="172"/>
      <c r="G179" s="172"/>
      <c r="H179" s="172"/>
      <c r="I179" s="172"/>
      <c r="J179" s="164"/>
      <c r="K179" s="162"/>
      <c r="L179" s="163">
        <v>1</v>
      </c>
      <c r="M179" s="164"/>
      <c r="N179" s="163">
        <v>60.92</v>
      </c>
      <c r="O179" s="164"/>
      <c r="P179" s="173">
        <v>1.3</v>
      </c>
      <c r="Q179" s="173"/>
      <c r="R179" s="163">
        <f>L179*N179*P179</f>
        <v>79.195999999999998</v>
      </c>
    </row>
    <row r="180" spans="2:18" ht="20.25">
      <c r="B180" s="61"/>
      <c r="C180" s="169"/>
      <c r="D180" s="196"/>
      <c r="E180" s="162"/>
      <c r="F180" s="172"/>
      <c r="G180" s="172"/>
      <c r="H180" s="172"/>
      <c r="I180" s="172"/>
      <c r="J180" s="164"/>
      <c r="K180" s="162"/>
      <c r="L180" s="163"/>
      <c r="M180" s="164"/>
      <c r="N180" s="163"/>
      <c r="O180" s="164"/>
      <c r="P180" s="173"/>
      <c r="Q180" s="173"/>
      <c r="R180" s="163"/>
    </row>
    <row r="181" spans="2:18" ht="42.75" customHeight="1">
      <c r="C181" s="169" t="s">
        <v>122</v>
      </c>
      <c r="D181" s="637" t="s">
        <v>1079</v>
      </c>
      <c r="E181" s="637"/>
      <c r="F181" s="637"/>
      <c r="G181" s="637"/>
      <c r="H181" s="637"/>
      <c r="I181" s="637"/>
      <c r="J181" s="637"/>
      <c r="K181" s="637"/>
      <c r="L181" s="636" t="s">
        <v>623</v>
      </c>
      <c r="M181" s="636"/>
      <c r="N181" s="636"/>
      <c r="O181" s="152"/>
      <c r="P181" s="183">
        <f>SUM(R183:R183)</f>
        <v>56</v>
      </c>
      <c r="Q181" s="153"/>
      <c r="R181" s="154" t="s">
        <v>11</v>
      </c>
    </row>
    <row r="182" spans="2:18" ht="20.25">
      <c r="C182" s="169"/>
      <c r="D182" s="155" t="s">
        <v>640</v>
      </c>
      <c r="E182" s="170"/>
      <c r="F182" s="170"/>
      <c r="G182" s="170"/>
      <c r="H182" s="170"/>
      <c r="I182" s="170"/>
      <c r="J182" s="161"/>
      <c r="K182" s="161"/>
      <c r="L182" s="156"/>
      <c r="M182" s="152"/>
      <c r="N182" s="156"/>
      <c r="O182" s="152"/>
      <c r="P182" s="156"/>
      <c r="Q182" s="153"/>
      <c r="R182" s="156" t="s">
        <v>625</v>
      </c>
    </row>
    <row r="183" spans="2:18" ht="20.25">
      <c r="C183" s="169"/>
      <c r="D183" s="196" t="s">
        <v>714</v>
      </c>
      <c r="E183" s="162"/>
      <c r="F183" s="172"/>
      <c r="G183" s="172"/>
      <c r="H183" s="172"/>
      <c r="I183" s="172"/>
      <c r="J183" s="164"/>
      <c r="K183" s="162"/>
      <c r="L183" s="163"/>
      <c r="M183" s="164"/>
      <c r="N183" s="163"/>
      <c r="O183" s="164"/>
      <c r="P183" s="173"/>
      <c r="Q183" s="173"/>
      <c r="R183" s="163">
        <f>33+11.5+11.5</f>
        <v>56</v>
      </c>
    </row>
    <row r="184" spans="2:18" ht="20.25">
      <c r="B184" s="61"/>
      <c r="C184" s="169"/>
      <c r="D184" s="196"/>
      <c r="E184" s="162"/>
      <c r="F184" s="172"/>
      <c r="G184" s="172"/>
      <c r="H184" s="172"/>
      <c r="I184" s="172"/>
      <c r="J184" s="164"/>
      <c r="K184" s="162"/>
      <c r="L184" s="163"/>
      <c r="M184" s="164"/>
      <c r="N184" s="163"/>
      <c r="O184" s="164"/>
      <c r="P184" s="173"/>
      <c r="Q184" s="173"/>
      <c r="R184" s="163"/>
    </row>
    <row r="185" spans="2:18" ht="20.25">
      <c r="C185" s="168" t="s">
        <v>184</v>
      </c>
      <c r="D185" s="662" t="s">
        <v>658</v>
      </c>
      <c r="E185" s="663"/>
      <c r="F185" s="663"/>
      <c r="G185" s="663"/>
      <c r="H185" s="663"/>
      <c r="I185" s="663"/>
      <c r="J185" s="663"/>
      <c r="K185" s="663"/>
      <c r="L185" s="663"/>
      <c r="M185" s="663"/>
      <c r="N185" s="663"/>
      <c r="O185" s="663"/>
      <c r="P185" s="663"/>
      <c r="Q185" s="663"/>
      <c r="R185" s="664"/>
    </row>
    <row r="186" spans="2:18" ht="62.25" customHeight="1">
      <c r="C186" s="169" t="s">
        <v>123</v>
      </c>
      <c r="D186" s="637" t="s">
        <v>1103</v>
      </c>
      <c r="E186" s="637"/>
      <c r="F186" s="637"/>
      <c r="G186" s="637"/>
      <c r="H186" s="637"/>
      <c r="I186" s="637"/>
      <c r="J186" s="637"/>
      <c r="K186" s="637"/>
      <c r="L186" s="636" t="s">
        <v>623</v>
      </c>
      <c r="M186" s="636"/>
      <c r="N186" s="636"/>
      <c r="O186" s="152"/>
      <c r="P186" s="153">
        <f>SUM(R188:R188)</f>
        <v>6.3359999999999994</v>
      </c>
      <c r="Q186" s="153"/>
      <c r="R186" s="154" t="s">
        <v>9</v>
      </c>
    </row>
    <row r="187" spans="2:18" ht="20.25">
      <c r="C187" s="169"/>
      <c r="D187" s="155" t="s">
        <v>640</v>
      </c>
      <c r="E187" s="170"/>
      <c r="F187" s="170"/>
      <c r="G187" s="170"/>
      <c r="H187" s="170"/>
      <c r="I187" s="170"/>
      <c r="J187" s="161"/>
      <c r="K187" s="161"/>
      <c r="L187" s="156" t="s">
        <v>638</v>
      </c>
      <c r="M187" s="152"/>
      <c r="N187" s="156" t="s">
        <v>625</v>
      </c>
      <c r="O187" s="152"/>
      <c r="P187" s="156" t="s">
        <v>639</v>
      </c>
      <c r="Q187" s="153"/>
      <c r="R187" s="157" t="s">
        <v>626</v>
      </c>
    </row>
    <row r="188" spans="2:18" ht="20.25">
      <c r="C188" s="169"/>
      <c r="D188" s="164" t="s">
        <v>1098</v>
      </c>
      <c r="E188" s="162"/>
      <c r="F188" s="172"/>
      <c r="G188" s="172"/>
      <c r="H188" s="172"/>
      <c r="I188" s="172"/>
      <c r="J188" s="164"/>
      <c r="K188" s="162"/>
      <c r="L188" s="163">
        <v>4</v>
      </c>
      <c r="M188" s="164"/>
      <c r="N188" s="163">
        <v>0.96</v>
      </c>
      <c r="O188" s="164"/>
      <c r="P188" s="173">
        <v>1.65</v>
      </c>
      <c r="Q188" s="173"/>
      <c r="R188" s="163">
        <f>N188*P188*L188</f>
        <v>6.3359999999999994</v>
      </c>
    </row>
    <row r="189" spans="2:18" ht="20.25">
      <c r="C189" s="169"/>
      <c r="D189" s="164"/>
      <c r="E189" s="162"/>
      <c r="F189" s="172"/>
      <c r="G189" s="172"/>
      <c r="H189" s="172"/>
      <c r="I189" s="172"/>
      <c r="J189" s="164"/>
      <c r="K189" s="162"/>
      <c r="L189" s="163"/>
      <c r="M189" s="164"/>
      <c r="N189" s="163"/>
      <c r="O189" s="164"/>
      <c r="P189" s="173"/>
      <c r="Q189" s="173"/>
      <c r="R189" s="163"/>
    </row>
    <row r="190" spans="2:18" ht="20.25">
      <c r="C190" s="169" t="s">
        <v>124</v>
      </c>
      <c r="D190" s="637" t="s">
        <v>1107</v>
      </c>
      <c r="E190" s="637"/>
      <c r="F190" s="637"/>
      <c r="G190" s="637"/>
      <c r="H190" s="637"/>
      <c r="I190" s="637"/>
      <c r="J190" s="637"/>
      <c r="K190" s="637"/>
      <c r="L190" s="636" t="s">
        <v>623</v>
      </c>
      <c r="M190" s="636"/>
      <c r="N190" s="636"/>
      <c r="O190" s="152"/>
      <c r="P190" s="153">
        <f>SUM(R192:R193)</f>
        <v>37.631999999999998</v>
      </c>
      <c r="Q190" s="153"/>
      <c r="R190" s="154" t="s">
        <v>9</v>
      </c>
    </row>
    <row r="191" spans="2:18" ht="20.25">
      <c r="C191" s="169"/>
      <c r="D191" s="155" t="s">
        <v>640</v>
      </c>
      <c r="E191" s="170"/>
      <c r="F191" s="170"/>
      <c r="G191" s="170"/>
      <c r="H191" s="170"/>
      <c r="I191" s="170"/>
      <c r="J191" s="161"/>
      <c r="K191" s="161"/>
      <c r="L191" s="156" t="s">
        <v>638</v>
      </c>
      <c r="M191" s="152"/>
      <c r="N191" s="156" t="s">
        <v>625</v>
      </c>
      <c r="O191" s="152"/>
      <c r="P191" s="156" t="s">
        <v>639</v>
      </c>
      <c r="Q191" s="153"/>
      <c r="R191" s="157" t="s">
        <v>626</v>
      </c>
    </row>
    <row r="192" spans="2:18" ht="20.25">
      <c r="C192" s="169"/>
      <c r="D192" s="164" t="s">
        <v>1099</v>
      </c>
      <c r="E192" s="162"/>
      <c r="F192" s="172"/>
      <c r="G192" s="172"/>
      <c r="H192" s="172"/>
      <c r="I192" s="172"/>
      <c r="J192" s="164"/>
      <c r="K192" s="162"/>
      <c r="L192" s="163">
        <v>7</v>
      </c>
      <c r="M192" s="164"/>
      <c r="N192" s="163">
        <v>0.96</v>
      </c>
      <c r="O192" s="164"/>
      <c r="P192" s="173">
        <v>2.8</v>
      </c>
      <c r="Q192" s="173"/>
      <c r="R192" s="163">
        <f>L192*N192*P192</f>
        <v>18.815999999999999</v>
      </c>
    </row>
    <row r="193" spans="3:18" ht="20.25">
      <c r="C193" s="169"/>
      <c r="D193" s="164" t="s">
        <v>1100</v>
      </c>
      <c r="E193" s="162"/>
      <c r="F193" s="172"/>
      <c r="G193" s="172"/>
      <c r="H193" s="172"/>
      <c r="I193" s="172"/>
      <c r="J193" s="164"/>
      <c r="K193" s="162"/>
      <c r="L193" s="163">
        <v>7</v>
      </c>
      <c r="M193" s="164"/>
      <c r="N193" s="163">
        <v>0.96</v>
      </c>
      <c r="O193" s="164"/>
      <c r="P193" s="173">
        <v>2.8</v>
      </c>
      <c r="Q193" s="173"/>
      <c r="R193" s="163">
        <f>L193*N193*P193</f>
        <v>18.815999999999999</v>
      </c>
    </row>
    <row r="194" spans="3:18" ht="20.25">
      <c r="C194" s="169"/>
      <c r="D194" s="164"/>
      <c r="E194" s="162"/>
      <c r="F194" s="172"/>
      <c r="G194" s="172"/>
      <c r="H194" s="172"/>
      <c r="I194" s="172"/>
      <c r="J194" s="164"/>
      <c r="K194" s="162"/>
      <c r="L194" s="163"/>
      <c r="M194" s="164"/>
      <c r="N194" s="163"/>
      <c r="O194" s="164"/>
      <c r="P194" s="173"/>
      <c r="Q194" s="173"/>
      <c r="R194" s="163"/>
    </row>
    <row r="195" spans="3:18" ht="20.25">
      <c r="C195" s="169" t="s">
        <v>56</v>
      </c>
      <c r="D195" s="637" t="s">
        <v>1105</v>
      </c>
      <c r="E195" s="637"/>
      <c r="F195" s="637"/>
      <c r="G195" s="637"/>
      <c r="H195" s="637"/>
      <c r="I195" s="637"/>
      <c r="J195" s="637"/>
      <c r="K195" s="637"/>
      <c r="L195" s="636" t="s">
        <v>623</v>
      </c>
      <c r="M195" s="636"/>
      <c r="N195" s="636"/>
      <c r="O195" s="152"/>
      <c r="P195" s="153">
        <f>SUM(R197:R197)</f>
        <v>5.3759999999999994</v>
      </c>
      <c r="Q195" s="153"/>
      <c r="R195" s="154" t="s">
        <v>9</v>
      </c>
    </row>
    <row r="196" spans="3:18" ht="20.25">
      <c r="C196" s="169"/>
      <c r="D196" s="155" t="s">
        <v>640</v>
      </c>
      <c r="E196" s="170"/>
      <c r="F196" s="170"/>
      <c r="G196" s="170"/>
      <c r="H196" s="170"/>
      <c r="I196" s="170"/>
      <c r="J196" s="161"/>
      <c r="K196" s="161"/>
      <c r="L196" s="156" t="s">
        <v>638</v>
      </c>
      <c r="M196" s="152"/>
      <c r="N196" s="156" t="s">
        <v>625</v>
      </c>
      <c r="O196" s="152"/>
      <c r="P196" s="156" t="s">
        <v>639</v>
      </c>
      <c r="Q196" s="153"/>
      <c r="R196" s="157" t="s">
        <v>626</v>
      </c>
    </row>
    <row r="197" spans="3:18" ht="20.25">
      <c r="C197" s="169"/>
      <c r="D197" s="164" t="s">
        <v>1101</v>
      </c>
      <c r="E197" s="162"/>
      <c r="F197" s="172"/>
      <c r="G197" s="172"/>
      <c r="H197" s="172"/>
      <c r="I197" s="172"/>
      <c r="J197" s="164"/>
      <c r="K197" s="162"/>
      <c r="L197" s="163">
        <v>2</v>
      </c>
      <c r="M197" s="164"/>
      <c r="N197" s="163">
        <v>0.96</v>
      </c>
      <c r="O197" s="164"/>
      <c r="P197" s="173">
        <v>2.8</v>
      </c>
      <c r="Q197" s="173"/>
      <c r="R197" s="163">
        <f>L197*N197*P197</f>
        <v>5.3759999999999994</v>
      </c>
    </row>
    <row r="198" spans="3:18" ht="20.25">
      <c r="C198" s="169"/>
      <c r="D198" s="164"/>
      <c r="E198" s="162"/>
      <c r="F198" s="172"/>
      <c r="G198" s="172"/>
      <c r="H198" s="172"/>
      <c r="I198" s="172"/>
      <c r="J198" s="164"/>
      <c r="K198" s="162"/>
      <c r="L198" s="163"/>
      <c r="M198" s="164"/>
      <c r="N198" s="163"/>
      <c r="O198" s="164"/>
      <c r="P198" s="173"/>
      <c r="Q198" s="173"/>
      <c r="R198" s="163"/>
    </row>
    <row r="199" spans="3:18" ht="20.25">
      <c r="C199" s="169" t="s">
        <v>132</v>
      </c>
      <c r="D199" s="637" t="s">
        <v>1106</v>
      </c>
      <c r="E199" s="637"/>
      <c r="F199" s="637"/>
      <c r="G199" s="637"/>
      <c r="H199" s="637"/>
      <c r="I199" s="637"/>
      <c r="J199" s="637"/>
      <c r="K199" s="637"/>
      <c r="L199" s="636" t="s">
        <v>623</v>
      </c>
      <c r="M199" s="636"/>
      <c r="N199" s="636"/>
      <c r="O199" s="152"/>
      <c r="P199" s="153">
        <f>SUM(R201:R201)</f>
        <v>5.3759999999999994</v>
      </c>
      <c r="Q199" s="153"/>
      <c r="R199" s="154" t="s">
        <v>9</v>
      </c>
    </row>
    <row r="200" spans="3:18" ht="20.25">
      <c r="C200" s="169"/>
      <c r="D200" s="155" t="s">
        <v>640</v>
      </c>
      <c r="E200" s="170"/>
      <c r="F200" s="170"/>
      <c r="G200" s="170"/>
      <c r="H200" s="170"/>
      <c r="I200" s="170"/>
      <c r="J200" s="161"/>
      <c r="K200" s="161"/>
      <c r="L200" s="156" t="s">
        <v>638</v>
      </c>
      <c r="M200" s="152"/>
      <c r="N200" s="156" t="s">
        <v>625</v>
      </c>
      <c r="O200" s="152"/>
      <c r="P200" s="156" t="s">
        <v>639</v>
      </c>
      <c r="Q200" s="153"/>
      <c r="R200" s="157" t="s">
        <v>626</v>
      </c>
    </row>
    <row r="201" spans="3:18" ht="20.25">
      <c r="C201" s="169"/>
      <c r="D201" s="164" t="s">
        <v>1102</v>
      </c>
      <c r="E201" s="162"/>
      <c r="F201" s="172"/>
      <c r="G201" s="172"/>
      <c r="H201" s="172"/>
      <c r="I201" s="172"/>
      <c r="J201" s="164"/>
      <c r="K201" s="162"/>
      <c r="L201" s="163">
        <v>2</v>
      </c>
      <c r="M201" s="164"/>
      <c r="N201" s="163">
        <v>0.96</v>
      </c>
      <c r="O201" s="164"/>
      <c r="P201" s="173">
        <v>2.8</v>
      </c>
      <c r="Q201" s="173"/>
      <c r="R201" s="163">
        <f>L201*N201*P201</f>
        <v>5.3759999999999994</v>
      </c>
    </row>
    <row r="202" spans="3:18" ht="20.25">
      <c r="C202" s="169"/>
      <c r="D202" s="164"/>
      <c r="E202" s="162"/>
      <c r="F202" s="172"/>
      <c r="G202" s="172"/>
      <c r="H202" s="172"/>
      <c r="I202" s="172"/>
      <c r="J202" s="164"/>
      <c r="K202" s="162"/>
      <c r="L202" s="163"/>
      <c r="M202" s="164"/>
      <c r="N202" s="163"/>
      <c r="O202" s="164"/>
      <c r="P202" s="173"/>
      <c r="Q202" s="173"/>
      <c r="R202" s="163"/>
    </row>
    <row r="203" spans="3:18" ht="39.75" customHeight="1">
      <c r="C203" s="169" t="s">
        <v>133</v>
      </c>
      <c r="D203" s="637" t="s">
        <v>167</v>
      </c>
      <c r="E203" s="637"/>
      <c r="F203" s="637"/>
      <c r="G203" s="637"/>
      <c r="H203" s="637"/>
      <c r="I203" s="637"/>
      <c r="J203" s="637"/>
      <c r="K203" s="637"/>
      <c r="L203" s="636" t="s">
        <v>623</v>
      </c>
      <c r="M203" s="636"/>
      <c r="N203" s="636"/>
      <c r="O203" s="152"/>
      <c r="P203" s="153">
        <f>SUM(R205:R206)</f>
        <v>150</v>
      </c>
      <c r="Q203" s="153"/>
      <c r="R203" s="154" t="s">
        <v>9</v>
      </c>
    </row>
    <row r="204" spans="3:18" ht="20.25">
      <c r="C204" s="169"/>
      <c r="D204" s="155" t="s">
        <v>640</v>
      </c>
      <c r="E204" s="170"/>
      <c r="F204" s="170"/>
      <c r="G204" s="170"/>
      <c r="H204" s="170"/>
      <c r="I204" s="170"/>
      <c r="J204" s="161"/>
      <c r="K204" s="161"/>
      <c r="L204" s="156" t="s">
        <v>638</v>
      </c>
      <c r="M204" s="152"/>
      <c r="N204" s="156" t="s">
        <v>625</v>
      </c>
      <c r="O204" s="152"/>
      <c r="P204" s="156" t="s">
        <v>639</v>
      </c>
      <c r="Q204" s="153"/>
      <c r="R204" s="157" t="s">
        <v>626</v>
      </c>
    </row>
    <row r="205" spans="3:18" ht="20.25">
      <c r="C205" s="169"/>
      <c r="D205" s="164" t="s">
        <v>682</v>
      </c>
      <c r="E205" s="162"/>
      <c r="F205" s="172"/>
      <c r="G205" s="172"/>
      <c r="H205" s="172"/>
      <c r="I205" s="172"/>
      <c r="J205" s="164"/>
      <c r="K205" s="162"/>
      <c r="L205" s="163">
        <v>25</v>
      </c>
      <c r="M205" s="164"/>
      <c r="N205" s="163">
        <v>2</v>
      </c>
      <c r="O205" s="164"/>
      <c r="P205" s="173">
        <v>1.5</v>
      </c>
      <c r="Q205" s="173"/>
      <c r="R205" s="163">
        <f>L205*N205*P205</f>
        <v>75</v>
      </c>
    </row>
    <row r="206" spans="3:18" ht="20.25">
      <c r="C206" s="169"/>
      <c r="D206" s="164" t="s">
        <v>650</v>
      </c>
      <c r="E206" s="162"/>
      <c r="F206" s="172"/>
      <c r="G206" s="172"/>
      <c r="H206" s="172"/>
      <c r="I206" s="172"/>
      <c r="J206" s="164"/>
      <c r="K206" s="162"/>
      <c r="L206" s="163">
        <v>25</v>
      </c>
      <c r="M206" s="164"/>
      <c r="N206" s="163">
        <v>2</v>
      </c>
      <c r="O206" s="164"/>
      <c r="P206" s="173">
        <v>1.5</v>
      </c>
      <c r="Q206" s="173"/>
      <c r="R206" s="163">
        <f>L206*N206*P206</f>
        <v>75</v>
      </c>
    </row>
    <row r="207" spans="3:18" ht="20.25">
      <c r="C207" s="169"/>
      <c r="D207" s="164"/>
      <c r="E207" s="162"/>
      <c r="F207" s="172"/>
      <c r="G207" s="172"/>
      <c r="H207" s="172"/>
      <c r="I207" s="172"/>
      <c r="J207" s="164"/>
      <c r="K207" s="162"/>
      <c r="L207" s="163"/>
      <c r="M207" s="164"/>
      <c r="N207" s="163"/>
      <c r="O207" s="164"/>
      <c r="P207" s="173"/>
      <c r="Q207" s="173"/>
      <c r="R207" s="163"/>
    </row>
    <row r="208" spans="3:18" ht="43.5" customHeight="1">
      <c r="C208" s="169" t="s">
        <v>134</v>
      </c>
      <c r="D208" s="637" t="s">
        <v>166</v>
      </c>
      <c r="E208" s="637"/>
      <c r="F208" s="637"/>
      <c r="G208" s="637"/>
      <c r="H208" s="637"/>
      <c r="I208" s="637"/>
      <c r="J208" s="637"/>
      <c r="K208" s="637"/>
      <c r="L208" s="636" t="s">
        <v>623</v>
      </c>
      <c r="M208" s="636"/>
      <c r="N208" s="636"/>
      <c r="O208" s="152"/>
      <c r="P208" s="153">
        <f>SUM(R210:R211)</f>
        <v>3</v>
      </c>
      <c r="Q208" s="153"/>
      <c r="R208" s="154" t="s">
        <v>9</v>
      </c>
    </row>
    <row r="209" spans="3:18" ht="20.25">
      <c r="C209" s="169"/>
      <c r="D209" s="155" t="s">
        <v>640</v>
      </c>
      <c r="E209" s="170"/>
      <c r="F209" s="170"/>
      <c r="G209" s="170"/>
      <c r="H209" s="170"/>
      <c r="I209" s="170"/>
      <c r="J209" s="161"/>
      <c r="K209" s="161"/>
      <c r="L209" s="156" t="s">
        <v>638</v>
      </c>
      <c r="M209" s="152"/>
      <c r="N209" s="156" t="s">
        <v>625</v>
      </c>
      <c r="O209" s="152"/>
      <c r="P209" s="156" t="s">
        <v>639</v>
      </c>
      <c r="Q209" s="153"/>
      <c r="R209" s="157" t="s">
        <v>626</v>
      </c>
    </row>
    <row r="210" spans="3:18" ht="20.25">
      <c r="C210" s="169"/>
      <c r="D210" s="164" t="s">
        <v>805</v>
      </c>
      <c r="E210" s="162"/>
      <c r="F210" s="172"/>
      <c r="G210" s="172"/>
      <c r="H210" s="172"/>
      <c r="I210" s="172"/>
      <c r="J210" s="164"/>
      <c r="K210" s="162"/>
      <c r="L210" s="163">
        <v>2</v>
      </c>
      <c r="M210" s="164"/>
      <c r="N210" s="163">
        <v>1.5</v>
      </c>
      <c r="O210" s="164"/>
      <c r="P210" s="173">
        <v>0.5</v>
      </c>
      <c r="Q210" s="173"/>
      <c r="R210" s="163">
        <f>L210*N210*P210</f>
        <v>1.5</v>
      </c>
    </row>
    <row r="211" spans="3:18" ht="20.25">
      <c r="C211" s="169"/>
      <c r="D211" s="164"/>
      <c r="E211" s="162"/>
      <c r="F211" s="172"/>
      <c r="G211" s="172"/>
      <c r="H211" s="172"/>
      <c r="I211" s="172"/>
      <c r="J211" s="164"/>
      <c r="K211" s="162"/>
      <c r="L211" s="163">
        <v>2</v>
      </c>
      <c r="M211" s="164"/>
      <c r="N211" s="163">
        <v>1.5</v>
      </c>
      <c r="O211" s="164"/>
      <c r="P211" s="173">
        <v>0.5</v>
      </c>
      <c r="Q211" s="173"/>
      <c r="R211" s="163">
        <f>L211*N211*P211</f>
        <v>1.5</v>
      </c>
    </row>
    <row r="212" spans="3:18" ht="20.25">
      <c r="C212" s="169"/>
      <c r="D212" s="164"/>
      <c r="E212" s="162"/>
      <c r="F212" s="172"/>
      <c r="G212" s="172"/>
      <c r="H212" s="172"/>
      <c r="I212" s="172"/>
      <c r="J212" s="164"/>
      <c r="K212" s="162"/>
      <c r="L212" s="163"/>
      <c r="M212" s="164"/>
      <c r="N212" s="163"/>
      <c r="O212" s="164"/>
      <c r="P212" s="173"/>
      <c r="Q212" s="173"/>
      <c r="R212" s="163"/>
    </row>
    <row r="213" spans="3:18" ht="20.25">
      <c r="C213" s="169"/>
      <c r="D213" s="164"/>
      <c r="E213" s="162"/>
      <c r="F213" s="172"/>
      <c r="G213" s="172"/>
      <c r="H213" s="172"/>
      <c r="I213" s="172"/>
      <c r="J213" s="164"/>
      <c r="K213" s="162"/>
      <c r="L213" s="163"/>
      <c r="M213" s="164"/>
      <c r="N213" s="163"/>
      <c r="O213" s="164"/>
      <c r="P213" s="173"/>
      <c r="Q213" s="173"/>
      <c r="R213" s="163"/>
    </row>
    <row r="214" spans="3:18" ht="20.25">
      <c r="C214" s="169"/>
      <c r="D214" s="164"/>
      <c r="E214" s="162"/>
      <c r="F214" s="172"/>
      <c r="G214" s="172"/>
      <c r="H214" s="172"/>
      <c r="I214" s="172"/>
      <c r="J214" s="164"/>
      <c r="K214" s="162"/>
      <c r="L214" s="163"/>
      <c r="M214" s="164"/>
      <c r="N214" s="163"/>
      <c r="O214" s="164"/>
      <c r="P214" s="173"/>
      <c r="Q214" s="173"/>
      <c r="R214" s="163"/>
    </row>
    <row r="215" spans="3:18" ht="20.25">
      <c r="C215" s="168" t="s">
        <v>185</v>
      </c>
      <c r="D215" s="662" t="s">
        <v>659</v>
      </c>
      <c r="E215" s="663"/>
      <c r="F215" s="663"/>
      <c r="G215" s="663"/>
      <c r="H215" s="663"/>
      <c r="I215" s="663"/>
      <c r="J215" s="663"/>
      <c r="K215" s="663"/>
      <c r="L215" s="663"/>
      <c r="M215" s="663"/>
      <c r="N215" s="663"/>
      <c r="O215" s="663"/>
      <c r="P215" s="663"/>
      <c r="Q215" s="663"/>
      <c r="R215" s="664"/>
    </row>
    <row r="216" spans="3:18" ht="20.25">
      <c r="C216" s="169" t="s">
        <v>15</v>
      </c>
      <c r="D216" s="637" t="s">
        <v>159</v>
      </c>
      <c r="E216" s="637"/>
      <c r="F216" s="637"/>
      <c r="G216" s="637"/>
      <c r="H216" s="637"/>
      <c r="I216" s="637"/>
      <c r="J216" s="637"/>
      <c r="K216" s="637"/>
      <c r="L216" s="636" t="s">
        <v>623</v>
      </c>
      <c r="M216" s="636"/>
      <c r="N216" s="636"/>
      <c r="O216" s="152"/>
      <c r="P216" s="153">
        <f>SUM(R218:R219)</f>
        <v>5.0999999999999996</v>
      </c>
      <c r="Q216" s="153"/>
      <c r="R216" s="154" t="s">
        <v>9</v>
      </c>
    </row>
    <row r="217" spans="3:18" ht="20.25">
      <c r="C217" s="169"/>
      <c r="D217" s="155" t="s">
        <v>640</v>
      </c>
      <c r="E217" s="170"/>
      <c r="F217" s="170"/>
      <c r="G217" s="170"/>
      <c r="H217" s="170"/>
      <c r="I217" s="170"/>
      <c r="J217" s="161"/>
      <c r="K217" s="161"/>
      <c r="L217" s="156" t="s">
        <v>638</v>
      </c>
      <c r="M217" s="152"/>
      <c r="N217" s="156" t="s">
        <v>625</v>
      </c>
      <c r="O217" s="152"/>
      <c r="P217" s="156" t="s">
        <v>639</v>
      </c>
      <c r="Q217" s="153"/>
      <c r="R217" s="157" t="s">
        <v>626</v>
      </c>
    </row>
    <row r="218" spans="3:18" ht="20.25">
      <c r="C218" s="169"/>
      <c r="D218" s="164" t="s">
        <v>805</v>
      </c>
      <c r="E218" s="162"/>
      <c r="F218" s="172"/>
      <c r="G218" s="172"/>
      <c r="H218" s="172"/>
      <c r="I218" s="172"/>
      <c r="J218" s="164"/>
      <c r="K218" s="162"/>
      <c r="L218" s="163">
        <v>1</v>
      </c>
      <c r="M218" s="164"/>
      <c r="N218" s="163">
        <v>3</v>
      </c>
      <c r="O218" s="164"/>
      <c r="P218" s="173">
        <v>1</v>
      </c>
      <c r="Q218" s="173"/>
      <c r="R218" s="163">
        <f>L218*N218*P218</f>
        <v>3</v>
      </c>
    </row>
    <row r="219" spans="3:18" ht="20.25">
      <c r="C219" s="169"/>
      <c r="D219" s="164" t="s">
        <v>805</v>
      </c>
      <c r="E219" s="162"/>
      <c r="F219" s="172"/>
      <c r="G219" s="172"/>
      <c r="H219" s="172"/>
      <c r="I219" s="172"/>
      <c r="J219" s="164"/>
      <c r="K219" s="162"/>
      <c r="L219" s="163">
        <v>1</v>
      </c>
      <c r="M219" s="164"/>
      <c r="N219" s="163">
        <v>2.1</v>
      </c>
      <c r="O219" s="164"/>
      <c r="P219" s="173">
        <v>1</v>
      </c>
      <c r="Q219" s="173"/>
      <c r="R219" s="163">
        <f>L219*N219*P219</f>
        <v>2.1</v>
      </c>
    </row>
    <row r="220" spans="3:18" ht="20.25">
      <c r="C220" s="169"/>
      <c r="D220" s="164"/>
      <c r="E220" s="162"/>
      <c r="F220" s="172"/>
      <c r="G220" s="172"/>
      <c r="H220" s="172"/>
      <c r="I220" s="172"/>
      <c r="J220" s="164"/>
      <c r="K220" s="162"/>
      <c r="L220" s="163"/>
      <c r="M220" s="164"/>
      <c r="N220" s="163"/>
      <c r="O220" s="164"/>
      <c r="P220" s="173"/>
      <c r="Q220" s="173"/>
      <c r="R220" s="163"/>
    </row>
    <row r="221" spans="3:18" ht="20.25">
      <c r="C221" s="168" t="s">
        <v>186</v>
      </c>
      <c r="D221" s="662" t="s">
        <v>660</v>
      </c>
      <c r="E221" s="663"/>
      <c r="F221" s="663"/>
      <c r="G221" s="663"/>
      <c r="H221" s="663"/>
      <c r="I221" s="663"/>
      <c r="J221" s="663"/>
      <c r="K221" s="663"/>
      <c r="L221" s="663"/>
      <c r="M221" s="663"/>
      <c r="N221" s="663"/>
      <c r="O221" s="663"/>
      <c r="P221" s="663"/>
      <c r="Q221" s="663"/>
      <c r="R221" s="664"/>
    </row>
    <row r="222" spans="3:18" ht="39.75" customHeight="1">
      <c r="C222" s="169" t="s">
        <v>174</v>
      </c>
      <c r="D222" s="637" t="s">
        <v>598</v>
      </c>
      <c r="E222" s="637"/>
      <c r="F222" s="637"/>
      <c r="G222" s="637"/>
      <c r="H222" s="637"/>
      <c r="I222" s="637"/>
      <c r="J222" s="637"/>
      <c r="K222" s="637"/>
      <c r="L222" s="636" t="s">
        <v>623</v>
      </c>
      <c r="M222" s="636"/>
      <c r="N222" s="636"/>
      <c r="O222" s="152"/>
      <c r="P222" s="153">
        <f>SUM(R225:R231)</f>
        <v>817.37</v>
      </c>
      <c r="Q222" s="153"/>
      <c r="R222" s="154" t="s">
        <v>9</v>
      </c>
    </row>
    <row r="223" spans="3:18" ht="20.25">
      <c r="C223" s="169"/>
      <c r="D223" s="155" t="s">
        <v>640</v>
      </c>
      <c r="E223" s="170"/>
      <c r="F223" s="170"/>
      <c r="G223" s="170"/>
      <c r="H223" s="170"/>
      <c r="I223" s="170"/>
      <c r="J223" s="161"/>
      <c r="K223" s="161"/>
      <c r="L223" s="156" t="s">
        <v>638</v>
      </c>
      <c r="M223" s="152"/>
      <c r="N223" s="156" t="s">
        <v>811</v>
      </c>
      <c r="O223" s="152"/>
      <c r="P223" s="156"/>
      <c r="Q223" s="153"/>
      <c r="R223" s="157" t="s">
        <v>626</v>
      </c>
    </row>
    <row r="224" spans="3:18" ht="20.25">
      <c r="C224" s="169"/>
      <c r="D224" s="645" t="s">
        <v>682</v>
      </c>
      <c r="E224" s="646"/>
      <c r="F224" s="646"/>
      <c r="G224" s="646"/>
      <c r="H224" s="646"/>
      <c r="I224" s="646"/>
      <c r="J224" s="646"/>
      <c r="K224" s="646"/>
      <c r="L224" s="646"/>
      <c r="M224" s="646"/>
      <c r="N224" s="646"/>
      <c r="O224" s="646"/>
      <c r="P224" s="646"/>
      <c r="Q224" s="646"/>
      <c r="R224" s="647"/>
    </row>
    <row r="225" spans="3:18" ht="20.25">
      <c r="C225" s="169"/>
      <c r="D225" s="164" t="s">
        <v>860</v>
      </c>
      <c r="E225" s="162"/>
      <c r="F225" s="172"/>
      <c r="G225" s="172"/>
      <c r="H225" s="172"/>
      <c r="I225" s="172"/>
      <c r="J225" s="164"/>
      <c r="K225" s="162"/>
      <c r="L225" s="163">
        <v>6</v>
      </c>
      <c r="M225" s="164"/>
      <c r="N225" s="163">
        <v>62</v>
      </c>
      <c r="O225" s="164"/>
      <c r="P225" s="173"/>
      <c r="Q225" s="173"/>
      <c r="R225" s="163">
        <f t="shared" ref="R225:R230" si="2">L225*N225</f>
        <v>372</v>
      </c>
    </row>
    <row r="226" spans="3:18" ht="20.25">
      <c r="C226" s="169"/>
      <c r="D226" s="164" t="s">
        <v>828</v>
      </c>
      <c r="E226" s="162"/>
      <c r="F226" s="172"/>
      <c r="G226" s="172"/>
      <c r="H226" s="172"/>
      <c r="I226" s="172"/>
      <c r="J226" s="164"/>
      <c r="K226" s="162"/>
      <c r="L226" s="163">
        <v>1</v>
      </c>
      <c r="M226" s="164"/>
      <c r="N226" s="163">
        <v>21.01</v>
      </c>
      <c r="O226" s="164"/>
      <c r="P226" s="173"/>
      <c r="Q226" s="173"/>
      <c r="R226" s="163">
        <f t="shared" si="2"/>
        <v>21.01</v>
      </c>
    </row>
    <row r="227" spans="3:18" s="221" customFormat="1" ht="20.25">
      <c r="C227" s="174"/>
      <c r="D227" s="176" t="s">
        <v>829</v>
      </c>
      <c r="E227" s="171"/>
      <c r="F227" s="175"/>
      <c r="G227" s="175"/>
      <c r="H227" s="175"/>
      <c r="I227" s="175"/>
      <c r="J227" s="176"/>
      <c r="K227" s="171"/>
      <c r="L227" s="177">
        <v>2</v>
      </c>
      <c r="M227" s="176"/>
      <c r="N227" s="177">
        <v>14.7</v>
      </c>
      <c r="O227" s="176"/>
      <c r="P227" s="178"/>
      <c r="Q227" s="178"/>
      <c r="R227" s="163">
        <f t="shared" si="2"/>
        <v>29.4</v>
      </c>
    </row>
    <row r="228" spans="3:18" s="221" customFormat="1" ht="20.25">
      <c r="C228" s="174"/>
      <c r="D228" s="176" t="s">
        <v>862</v>
      </c>
      <c r="E228" s="171"/>
      <c r="F228" s="175"/>
      <c r="G228" s="175"/>
      <c r="H228" s="175"/>
      <c r="I228" s="175"/>
      <c r="J228" s="176"/>
      <c r="K228" s="171"/>
      <c r="L228" s="177">
        <v>2</v>
      </c>
      <c r="M228" s="176"/>
      <c r="N228" s="177">
        <v>3.52</v>
      </c>
      <c r="O228" s="176"/>
      <c r="P228" s="178"/>
      <c r="Q228" s="178"/>
      <c r="R228" s="163">
        <f t="shared" si="2"/>
        <v>7.04</v>
      </c>
    </row>
    <row r="229" spans="3:18" s="221" customFormat="1" ht="20.25">
      <c r="C229" s="174"/>
      <c r="D229" s="176" t="s">
        <v>861</v>
      </c>
      <c r="E229" s="171"/>
      <c r="F229" s="175"/>
      <c r="G229" s="175"/>
      <c r="H229" s="175"/>
      <c r="I229" s="175"/>
      <c r="J229" s="176"/>
      <c r="K229" s="171"/>
      <c r="L229" s="177">
        <v>1</v>
      </c>
      <c r="M229" s="176"/>
      <c r="N229" s="177">
        <f>179.62+21.8</f>
        <v>201.42000000000002</v>
      </c>
      <c r="O229" s="176"/>
      <c r="P229" s="178"/>
      <c r="Q229" s="178"/>
      <c r="R229" s="163">
        <f t="shared" si="2"/>
        <v>201.42000000000002</v>
      </c>
    </row>
    <row r="230" spans="3:18" ht="20.25">
      <c r="C230" s="169"/>
      <c r="D230" s="164" t="s">
        <v>810</v>
      </c>
      <c r="E230" s="162"/>
      <c r="F230" s="172"/>
      <c r="G230" s="172"/>
      <c r="H230" s="172"/>
      <c r="I230" s="172"/>
      <c r="J230" s="164"/>
      <c r="K230" s="162"/>
      <c r="L230" s="163">
        <v>1</v>
      </c>
      <c r="M230" s="164"/>
      <c r="N230" s="163">
        <v>15.5</v>
      </c>
      <c r="O230" s="164"/>
      <c r="P230" s="173"/>
      <c r="Q230" s="173"/>
      <c r="R230" s="163">
        <f t="shared" si="2"/>
        <v>15.5</v>
      </c>
    </row>
    <row r="231" spans="3:18" s="221" customFormat="1" ht="20.25">
      <c r="C231" s="174"/>
      <c r="D231" s="176" t="s">
        <v>655</v>
      </c>
      <c r="E231" s="171"/>
      <c r="F231" s="175"/>
      <c r="G231" s="175"/>
      <c r="H231" s="175"/>
      <c r="I231" s="175"/>
      <c r="J231" s="176"/>
      <c r="K231" s="171"/>
      <c r="L231" s="177"/>
      <c r="M231" s="176"/>
      <c r="N231" s="177"/>
      <c r="O231" s="176"/>
      <c r="P231" s="178"/>
      <c r="Q231" s="178"/>
      <c r="R231" s="177">
        <v>171</v>
      </c>
    </row>
    <row r="232" spans="3:18" ht="20.25">
      <c r="C232" s="169"/>
      <c r="D232" s="164"/>
      <c r="E232" s="162"/>
      <c r="F232" s="172"/>
      <c r="G232" s="172"/>
      <c r="H232" s="172"/>
      <c r="I232" s="172"/>
      <c r="J232" s="164"/>
      <c r="K232" s="162"/>
      <c r="L232" s="163"/>
      <c r="M232" s="164"/>
      <c r="N232" s="163"/>
      <c r="O232" s="164"/>
      <c r="P232" s="173"/>
      <c r="Q232" s="173"/>
      <c r="R232" s="163"/>
    </row>
    <row r="233" spans="3:18" ht="20.25">
      <c r="C233" s="168" t="s">
        <v>187</v>
      </c>
      <c r="D233" s="662" t="s">
        <v>653</v>
      </c>
      <c r="E233" s="663"/>
      <c r="F233" s="663"/>
      <c r="G233" s="663"/>
      <c r="H233" s="663"/>
      <c r="I233" s="663"/>
      <c r="J233" s="663"/>
      <c r="K233" s="663"/>
      <c r="L233" s="663"/>
      <c r="M233" s="663"/>
      <c r="N233" s="663"/>
      <c r="O233" s="663"/>
      <c r="P233" s="663"/>
      <c r="Q233" s="663"/>
      <c r="R233" s="664"/>
    </row>
    <row r="234" spans="3:18" ht="48" customHeight="1">
      <c r="C234" s="169" t="s">
        <v>57</v>
      </c>
      <c r="D234" s="645" t="s">
        <v>395</v>
      </c>
      <c r="E234" s="646"/>
      <c r="F234" s="646"/>
      <c r="G234" s="646"/>
      <c r="H234" s="646"/>
      <c r="I234" s="646"/>
      <c r="J234" s="646"/>
      <c r="K234" s="647"/>
      <c r="L234" s="636" t="s">
        <v>623</v>
      </c>
      <c r="M234" s="636"/>
      <c r="N234" s="636"/>
      <c r="O234" s="152"/>
      <c r="P234" s="153">
        <f>SUM(R237:R243)</f>
        <v>789.30199999999991</v>
      </c>
      <c r="Q234" s="153"/>
      <c r="R234" s="154" t="s">
        <v>9</v>
      </c>
    </row>
    <row r="235" spans="3:18" ht="20.25">
      <c r="C235" s="174"/>
      <c r="D235" s="654" t="s">
        <v>682</v>
      </c>
      <c r="E235" s="655"/>
      <c r="F235" s="655"/>
      <c r="G235" s="655"/>
      <c r="H235" s="655"/>
      <c r="I235" s="655"/>
      <c r="J235" s="655"/>
      <c r="K235" s="655"/>
      <c r="L235" s="655"/>
      <c r="M235" s="655"/>
      <c r="N235" s="655"/>
      <c r="O235" s="655"/>
      <c r="P235" s="655"/>
      <c r="Q235" s="655"/>
      <c r="R235" s="656"/>
    </row>
    <row r="236" spans="3:18" ht="20.25">
      <c r="C236" s="169"/>
      <c r="D236" s="155" t="s">
        <v>640</v>
      </c>
      <c r="E236" s="170"/>
      <c r="F236" s="170"/>
      <c r="G236" s="170"/>
      <c r="H236" s="170"/>
      <c r="I236" s="156" t="s">
        <v>645</v>
      </c>
      <c r="J236" s="161"/>
      <c r="K236" s="161"/>
      <c r="L236" s="156" t="s">
        <v>638</v>
      </c>
      <c r="M236" s="152"/>
      <c r="N236" s="156" t="s">
        <v>817</v>
      </c>
      <c r="O236" s="152"/>
      <c r="P236" s="156" t="s">
        <v>639</v>
      </c>
      <c r="Q236" s="153"/>
      <c r="R236" s="157" t="s">
        <v>626</v>
      </c>
    </row>
    <row r="237" spans="3:18" ht="20.25">
      <c r="C237" s="169"/>
      <c r="D237" s="164" t="s">
        <v>827</v>
      </c>
      <c r="E237" s="162"/>
      <c r="F237" s="172"/>
      <c r="G237" s="172"/>
      <c r="H237" s="172"/>
      <c r="I237" s="162">
        <f>(4*3)+2.69</f>
        <v>14.69</v>
      </c>
      <c r="J237" s="164"/>
      <c r="K237" s="162"/>
      <c r="L237" s="163">
        <v>6</v>
      </c>
      <c r="M237" s="164"/>
      <c r="N237" s="163">
        <v>31.45</v>
      </c>
      <c r="O237" s="164"/>
      <c r="P237" s="173">
        <v>2.8</v>
      </c>
      <c r="Q237" s="173"/>
      <c r="R237" s="163">
        <f>L237*N237*P237-I237</f>
        <v>513.66999999999985</v>
      </c>
    </row>
    <row r="238" spans="3:18" ht="20.25">
      <c r="C238" s="169"/>
      <c r="D238" s="164" t="s">
        <v>828</v>
      </c>
      <c r="E238" s="162"/>
      <c r="F238" s="172"/>
      <c r="G238" s="172"/>
      <c r="H238" s="172"/>
      <c r="I238" s="162">
        <f>3+2.69</f>
        <v>5.6899999999999995</v>
      </c>
      <c r="J238" s="164"/>
      <c r="K238" s="162"/>
      <c r="L238" s="163">
        <v>1</v>
      </c>
      <c r="M238" s="164"/>
      <c r="N238" s="163">
        <v>18.34</v>
      </c>
      <c r="O238" s="164"/>
      <c r="P238" s="173">
        <v>2.8</v>
      </c>
      <c r="Q238" s="173"/>
      <c r="R238" s="163">
        <f>L238*N238*P238-I238</f>
        <v>45.661999999999999</v>
      </c>
    </row>
    <row r="239" spans="3:18" ht="20.25">
      <c r="C239" s="169"/>
      <c r="D239" s="176" t="s">
        <v>829</v>
      </c>
      <c r="E239" s="162"/>
      <c r="F239" s="172"/>
      <c r="G239" s="172"/>
      <c r="H239" s="172"/>
      <c r="I239" s="162">
        <f>(0.75+2.69)</f>
        <v>3.44</v>
      </c>
      <c r="J239" s="164"/>
      <c r="K239" s="162"/>
      <c r="L239" s="163">
        <v>2</v>
      </c>
      <c r="M239" s="164"/>
      <c r="N239" s="163">
        <v>19.2</v>
      </c>
      <c r="O239" s="164"/>
      <c r="P239" s="173">
        <v>2.8</v>
      </c>
      <c r="Q239" s="173"/>
      <c r="R239" s="163">
        <f>L239*N239*P239-I239</f>
        <v>104.08</v>
      </c>
    </row>
    <row r="240" spans="3:18" ht="20.25">
      <c r="C240" s="169"/>
      <c r="D240" s="176" t="s">
        <v>862</v>
      </c>
      <c r="E240" s="162"/>
      <c r="F240" s="172"/>
      <c r="G240" s="172"/>
      <c r="H240" s="172"/>
      <c r="I240" s="162">
        <f>(0.75+2.69)</f>
        <v>3.44</v>
      </c>
      <c r="J240" s="164"/>
      <c r="K240" s="162"/>
      <c r="L240" s="163">
        <v>2</v>
      </c>
      <c r="M240" s="164"/>
      <c r="N240" s="163">
        <v>7.6</v>
      </c>
      <c r="O240" s="164"/>
      <c r="P240" s="173">
        <v>2.8</v>
      </c>
      <c r="Q240" s="173"/>
      <c r="R240" s="163">
        <f>L240*N240*P240-I240</f>
        <v>39.119999999999997</v>
      </c>
    </row>
    <row r="241" spans="3:18" ht="20.25">
      <c r="C241" s="169"/>
      <c r="D241" s="176" t="s">
        <v>810</v>
      </c>
      <c r="E241" s="162"/>
      <c r="F241" s="172"/>
      <c r="G241" s="172"/>
      <c r="H241" s="172"/>
      <c r="I241" s="172"/>
      <c r="J241" s="164"/>
      <c r="K241" s="162"/>
      <c r="L241" s="163"/>
      <c r="M241" s="164"/>
      <c r="N241" s="163">
        <v>9.4</v>
      </c>
      <c r="O241" s="164"/>
      <c r="P241" s="173">
        <v>1.1000000000000001</v>
      </c>
      <c r="Q241" s="173"/>
      <c r="R241" s="163">
        <f>N241*P241</f>
        <v>10.340000000000002</v>
      </c>
    </row>
    <row r="242" spans="3:18" ht="20.25">
      <c r="C242" s="169"/>
      <c r="D242" s="164"/>
      <c r="E242" s="162"/>
      <c r="F242" s="172"/>
      <c r="G242" s="172"/>
      <c r="H242" s="172"/>
      <c r="I242" s="172"/>
      <c r="J242" s="164"/>
      <c r="K242" s="162"/>
      <c r="L242" s="163"/>
      <c r="M242" s="164"/>
      <c r="N242" s="163">
        <v>12.2</v>
      </c>
      <c r="O242" s="164"/>
      <c r="P242" s="173">
        <v>2.8</v>
      </c>
      <c r="Q242" s="173"/>
      <c r="R242" s="163">
        <f>N242*P242</f>
        <v>34.159999999999997</v>
      </c>
    </row>
    <row r="243" spans="3:18" ht="20.25">
      <c r="C243" s="169"/>
      <c r="D243" s="164" t="s">
        <v>819</v>
      </c>
      <c r="E243" s="162"/>
      <c r="F243" s="172"/>
      <c r="G243" s="172"/>
      <c r="H243" s="172"/>
      <c r="I243" s="162">
        <f>5*2.69</f>
        <v>13.45</v>
      </c>
      <c r="J243" s="164"/>
      <c r="K243" s="162"/>
      <c r="L243" s="163">
        <v>1</v>
      </c>
      <c r="M243" s="164"/>
      <c r="N243" s="163">
        <v>19.899999999999999</v>
      </c>
      <c r="O243" s="164"/>
      <c r="P243" s="173">
        <v>2.8</v>
      </c>
      <c r="Q243" s="173"/>
      <c r="R243" s="163">
        <f>N243*P243*L243-I243</f>
        <v>42.269999999999996</v>
      </c>
    </row>
    <row r="244" spans="3:18" ht="20.25">
      <c r="C244" s="169"/>
      <c r="D244" s="164"/>
      <c r="E244" s="162"/>
      <c r="F244" s="172"/>
      <c r="G244" s="172"/>
      <c r="H244" s="172"/>
      <c r="I244" s="172"/>
      <c r="J244" s="164"/>
      <c r="K244" s="162"/>
      <c r="L244" s="163"/>
      <c r="M244" s="164"/>
      <c r="N244" s="163"/>
      <c r="O244" s="164"/>
      <c r="P244" s="173"/>
      <c r="Q244" s="173"/>
      <c r="R244" s="163"/>
    </row>
    <row r="245" spans="3:18" ht="75.75" customHeight="1">
      <c r="C245" s="174" t="s">
        <v>965</v>
      </c>
      <c r="D245" s="638" t="s">
        <v>820</v>
      </c>
      <c r="E245" s="639"/>
      <c r="F245" s="639"/>
      <c r="G245" s="639"/>
      <c r="H245" s="639"/>
      <c r="I245" s="639"/>
      <c r="J245" s="639"/>
      <c r="K245" s="640"/>
      <c r="L245" s="641" t="s">
        <v>623</v>
      </c>
      <c r="M245" s="641"/>
      <c r="N245" s="641"/>
      <c r="O245" s="226"/>
      <c r="P245" s="183">
        <f>SUM(R248:R258)</f>
        <v>1834.85</v>
      </c>
      <c r="Q245" s="183"/>
      <c r="R245" s="184" t="s">
        <v>9</v>
      </c>
    </row>
    <row r="246" spans="3:18" ht="20.25">
      <c r="C246" s="174"/>
      <c r="D246" s="158" t="s">
        <v>640</v>
      </c>
      <c r="E246" s="232"/>
      <c r="F246" s="232"/>
      <c r="G246" s="232"/>
      <c r="H246" s="232"/>
      <c r="I246" s="156" t="s">
        <v>645</v>
      </c>
      <c r="J246" s="232"/>
      <c r="K246" s="232"/>
      <c r="L246" s="156" t="s">
        <v>638</v>
      </c>
      <c r="M246" s="226"/>
      <c r="N246" s="156" t="s">
        <v>817</v>
      </c>
      <c r="O246" s="226"/>
      <c r="P246" s="186" t="s">
        <v>639</v>
      </c>
      <c r="Q246" s="183"/>
      <c r="R246" s="188" t="s">
        <v>626</v>
      </c>
    </row>
    <row r="247" spans="3:18" ht="20.25">
      <c r="C247" s="174"/>
      <c r="D247" s="654" t="s">
        <v>682</v>
      </c>
      <c r="E247" s="655"/>
      <c r="F247" s="655"/>
      <c r="G247" s="655"/>
      <c r="H247" s="655"/>
      <c r="I247" s="655"/>
      <c r="J247" s="655"/>
      <c r="K247" s="655"/>
      <c r="L247" s="655"/>
      <c r="M247" s="655"/>
      <c r="N247" s="655"/>
      <c r="O247" s="655"/>
      <c r="P247" s="655"/>
      <c r="Q247" s="655"/>
      <c r="R247" s="656"/>
    </row>
    <row r="248" spans="3:18" ht="20.25">
      <c r="C248" s="174"/>
      <c r="D248" s="176" t="s">
        <v>822</v>
      </c>
      <c r="E248" s="171"/>
      <c r="F248" s="175"/>
      <c r="G248" s="175"/>
      <c r="H248" s="175"/>
      <c r="I248" s="171">
        <f>(25*3)+(6*2.69)</f>
        <v>91.14</v>
      </c>
      <c r="J248" s="176"/>
      <c r="K248" s="171"/>
      <c r="L248" s="177">
        <v>1</v>
      </c>
      <c r="M248" s="176"/>
      <c r="N248" s="177">
        <v>153</v>
      </c>
      <c r="O248" s="176"/>
      <c r="P248" s="178">
        <v>3.7</v>
      </c>
      <c r="Q248" s="178"/>
      <c r="R248" s="177">
        <f>L248*N248*P248-I248</f>
        <v>474.96000000000004</v>
      </c>
    </row>
    <row r="249" spans="3:18" ht="20.25">
      <c r="C249" s="174"/>
      <c r="D249" s="176" t="s">
        <v>823</v>
      </c>
      <c r="E249" s="171"/>
      <c r="F249" s="175"/>
      <c r="G249" s="175"/>
      <c r="H249" s="175"/>
      <c r="I249" s="171">
        <v>0</v>
      </c>
      <c r="J249" s="176"/>
      <c r="K249" s="171"/>
      <c r="L249" s="177">
        <v>17</v>
      </c>
      <c r="M249" s="176"/>
      <c r="N249" s="177">
        <v>1.2</v>
      </c>
      <c r="O249" s="176"/>
      <c r="P249" s="178">
        <v>3.7</v>
      </c>
      <c r="Q249" s="178"/>
      <c r="R249" s="177">
        <f>L249*N249*P249-I249</f>
        <v>75.48</v>
      </c>
    </row>
    <row r="250" spans="3:18" ht="20.25">
      <c r="C250" s="174"/>
      <c r="D250" s="176" t="s">
        <v>824</v>
      </c>
      <c r="E250" s="171"/>
      <c r="F250" s="175"/>
      <c r="G250" s="175"/>
      <c r="H250" s="175"/>
      <c r="I250" s="171">
        <v>0</v>
      </c>
      <c r="J250" s="176"/>
      <c r="K250" s="171"/>
      <c r="L250" s="177">
        <v>2</v>
      </c>
      <c r="M250" s="176"/>
      <c r="N250" s="177">
        <v>53.55</v>
      </c>
      <c r="O250" s="176"/>
      <c r="P250" s="178">
        <v>1.1000000000000001</v>
      </c>
      <c r="Q250" s="178"/>
      <c r="R250" s="177">
        <f>L250*N250*P250-I250</f>
        <v>117.81</v>
      </c>
    </row>
    <row r="251" spans="3:18" ht="20.25">
      <c r="C251" s="174"/>
      <c r="D251" s="658" t="s">
        <v>650</v>
      </c>
      <c r="E251" s="659"/>
      <c r="F251" s="659"/>
      <c r="G251" s="659"/>
      <c r="H251" s="659"/>
      <c r="I251" s="659"/>
      <c r="J251" s="659"/>
      <c r="K251" s="659"/>
      <c r="L251" s="659"/>
      <c r="M251" s="659"/>
      <c r="N251" s="659"/>
      <c r="O251" s="659"/>
      <c r="P251" s="659"/>
      <c r="Q251" s="659"/>
      <c r="R251" s="660"/>
    </row>
    <row r="252" spans="3:18" ht="20.25">
      <c r="C252" s="174"/>
      <c r="D252" s="176" t="s">
        <v>822</v>
      </c>
      <c r="E252" s="171"/>
      <c r="F252" s="175"/>
      <c r="G252" s="175"/>
      <c r="H252" s="175"/>
      <c r="I252" s="171">
        <f>(25*3)+(6*2.69)</f>
        <v>91.14</v>
      </c>
      <c r="J252" s="176"/>
      <c r="K252" s="171"/>
      <c r="L252" s="177">
        <v>1</v>
      </c>
      <c r="M252" s="176"/>
      <c r="N252" s="177">
        <v>153</v>
      </c>
      <c r="O252" s="176"/>
      <c r="P252" s="178">
        <v>2.8</v>
      </c>
      <c r="Q252" s="178"/>
      <c r="R252" s="177">
        <f>L252*N252*P252-I252</f>
        <v>337.26</v>
      </c>
    </row>
    <row r="253" spans="3:18" ht="20.25">
      <c r="C253" s="174"/>
      <c r="D253" s="176" t="s">
        <v>823</v>
      </c>
      <c r="E253" s="171"/>
      <c r="F253" s="175"/>
      <c r="G253" s="175"/>
      <c r="H253" s="175"/>
      <c r="I253" s="171">
        <v>0</v>
      </c>
      <c r="J253" s="176"/>
      <c r="K253" s="171"/>
      <c r="L253" s="177">
        <v>17</v>
      </c>
      <c r="M253" s="176"/>
      <c r="N253" s="177">
        <v>1.2</v>
      </c>
      <c r="O253" s="176"/>
      <c r="P253" s="178">
        <v>2.8</v>
      </c>
      <c r="Q253" s="178"/>
      <c r="R253" s="177">
        <f>L253*N253*P253-I253</f>
        <v>57.11999999999999</v>
      </c>
    </row>
    <row r="254" spans="3:18" ht="20.25">
      <c r="C254" s="174"/>
      <c r="D254" s="176" t="s">
        <v>824</v>
      </c>
      <c r="E254" s="171"/>
      <c r="F254" s="175"/>
      <c r="G254" s="175"/>
      <c r="H254" s="175"/>
      <c r="I254" s="171">
        <v>0</v>
      </c>
      <c r="J254" s="176"/>
      <c r="K254" s="171"/>
      <c r="L254" s="177">
        <v>2</v>
      </c>
      <c r="M254" s="176"/>
      <c r="N254" s="177">
        <v>64.099999999999994</v>
      </c>
      <c r="O254" s="176"/>
      <c r="P254" s="178">
        <v>1.1000000000000001</v>
      </c>
      <c r="Q254" s="178"/>
      <c r="R254" s="177">
        <f>L254*N254*P254-I254</f>
        <v>141.02000000000001</v>
      </c>
    </row>
    <row r="255" spans="3:18" ht="20.25">
      <c r="C255" s="174"/>
      <c r="D255" s="176" t="s">
        <v>866</v>
      </c>
      <c r="E255" s="171"/>
      <c r="F255" s="175"/>
      <c r="G255" s="175"/>
      <c r="H255" s="175"/>
      <c r="I255" s="171">
        <v>0</v>
      </c>
      <c r="J255" s="176"/>
      <c r="K255" s="171"/>
      <c r="L255" s="177">
        <v>2</v>
      </c>
      <c r="M255" s="176"/>
      <c r="N255" s="177">
        <v>60</v>
      </c>
      <c r="O255" s="176"/>
      <c r="P255" s="178">
        <v>1.1000000000000001</v>
      </c>
      <c r="Q255" s="178"/>
      <c r="R255" s="177">
        <f>L255*N255*P255-I255</f>
        <v>132</v>
      </c>
    </row>
    <row r="256" spans="3:18" ht="20.25">
      <c r="C256" s="304"/>
      <c r="D256" s="164"/>
      <c r="E256" s="189"/>
      <c r="F256" s="189"/>
      <c r="G256" s="189"/>
      <c r="H256" s="189"/>
      <c r="I256" s="164"/>
      <c r="J256" s="189"/>
      <c r="K256" s="189"/>
      <c r="L256" s="163"/>
      <c r="M256" s="164"/>
      <c r="N256" s="163"/>
      <c r="O256" s="164"/>
      <c r="P256" s="173"/>
      <c r="Q256" s="173"/>
      <c r="R256" s="163"/>
    </row>
    <row r="257" spans="3:18" ht="20.25">
      <c r="C257" s="174"/>
      <c r="D257" s="658" t="s">
        <v>651</v>
      </c>
      <c r="E257" s="659"/>
      <c r="F257" s="659"/>
      <c r="G257" s="659"/>
      <c r="H257" s="659"/>
      <c r="I257" s="659"/>
      <c r="J257" s="659"/>
      <c r="K257" s="659"/>
      <c r="L257" s="659"/>
      <c r="M257" s="659"/>
      <c r="N257" s="659"/>
      <c r="O257" s="659"/>
      <c r="P257" s="659"/>
      <c r="Q257" s="659"/>
      <c r="R257" s="660"/>
    </row>
    <row r="258" spans="3:18" ht="20.25">
      <c r="C258" s="304"/>
      <c r="D258" s="158" t="s">
        <v>1096</v>
      </c>
      <c r="E258" s="189"/>
      <c r="F258" s="189"/>
      <c r="G258" s="189"/>
      <c r="H258" s="189"/>
      <c r="I258" s="164"/>
      <c r="J258" s="189"/>
      <c r="K258" s="189"/>
      <c r="L258" s="163">
        <v>1</v>
      </c>
      <c r="M258" s="164"/>
      <c r="N258" s="163">
        <v>156</v>
      </c>
      <c r="O258" s="164"/>
      <c r="P258" s="173">
        <v>3.2</v>
      </c>
      <c r="Q258" s="173"/>
      <c r="R258" s="163">
        <f>L258*N258*P258</f>
        <v>499.20000000000005</v>
      </c>
    </row>
    <row r="259" spans="3:18" ht="20.25">
      <c r="C259" s="174"/>
      <c r="D259" s="176"/>
      <c r="E259" s="171"/>
      <c r="F259" s="175"/>
      <c r="G259" s="175"/>
      <c r="H259" s="175"/>
      <c r="I259" s="175"/>
      <c r="J259" s="176"/>
      <c r="K259" s="171"/>
      <c r="L259" s="177"/>
      <c r="M259" s="226"/>
      <c r="N259" s="177"/>
      <c r="O259" s="176"/>
      <c r="P259" s="176"/>
      <c r="Q259" s="183"/>
      <c r="R259" s="177"/>
    </row>
    <row r="260" spans="3:18" ht="86.25" customHeight="1">
      <c r="C260" s="174" t="s">
        <v>966</v>
      </c>
      <c r="D260" s="638" t="s">
        <v>223</v>
      </c>
      <c r="E260" s="639"/>
      <c r="F260" s="639"/>
      <c r="G260" s="639"/>
      <c r="H260" s="639"/>
      <c r="I260" s="639"/>
      <c r="J260" s="639"/>
      <c r="K260" s="640"/>
      <c r="L260" s="641" t="s">
        <v>623</v>
      </c>
      <c r="M260" s="641"/>
      <c r="N260" s="641"/>
      <c r="O260" s="226"/>
      <c r="P260" s="183">
        <f>SUM(R263:R265)</f>
        <v>143.19999999999999</v>
      </c>
      <c r="Q260" s="183"/>
      <c r="R260" s="184" t="s">
        <v>9</v>
      </c>
    </row>
    <row r="261" spans="3:18" ht="20.25">
      <c r="C261" s="174"/>
      <c r="D261" s="654" t="s">
        <v>682</v>
      </c>
      <c r="E261" s="655"/>
      <c r="F261" s="655"/>
      <c r="G261" s="655"/>
      <c r="H261" s="655"/>
      <c r="I261" s="655"/>
      <c r="J261" s="655"/>
      <c r="K261" s="655"/>
      <c r="L261" s="655"/>
      <c r="M261" s="655"/>
      <c r="N261" s="655"/>
      <c r="O261" s="655"/>
      <c r="P261" s="655"/>
      <c r="Q261" s="655"/>
      <c r="R261" s="656"/>
    </row>
    <row r="262" spans="3:18" ht="20.25">
      <c r="C262" s="174"/>
      <c r="D262" s="158" t="s">
        <v>640</v>
      </c>
      <c r="E262" s="227"/>
      <c r="F262" s="175"/>
      <c r="G262" s="175"/>
      <c r="H262" s="175"/>
      <c r="I262" s="175"/>
      <c r="J262" s="226"/>
      <c r="K262" s="184"/>
      <c r="L262" s="156" t="s">
        <v>638</v>
      </c>
      <c r="M262" s="226"/>
      <c r="N262" s="156" t="s">
        <v>817</v>
      </c>
      <c r="O262" s="226"/>
      <c r="P262" s="186" t="s">
        <v>639</v>
      </c>
      <c r="Q262" s="183"/>
      <c r="R262" s="188" t="s">
        <v>626</v>
      </c>
    </row>
    <row r="263" spans="3:18" ht="20.25">
      <c r="C263" s="169"/>
      <c r="D263" s="176" t="s">
        <v>809</v>
      </c>
      <c r="E263" s="162"/>
      <c r="F263" s="172"/>
      <c r="G263" s="172"/>
      <c r="H263" s="172"/>
      <c r="I263" s="162">
        <f>(0.75+2.69)</f>
        <v>3.44</v>
      </c>
      <c r="J263" s="164"/>
      <c r="K263" s="162"/>
      <c r="L263" s="163">
        <v>2</v>
      </c>
      <c r="M263" s="164"/>
      <c r="N263" s="163">
        <v>19.2</v>
      </c>
      <c r="O263" s="164"/>
      <c r="P263" s="173">
        <v>2.8</v>
      </c>
      <c r="Q263" s="173"/>
      <c r="R263" s="163">
        <f>L263*N263*P263-I263</f>
        <v>104.08</v>
      </c>
    </row>
    <row r="264" spans="3:18" ht="20.25">
      <c r="C264" s="169"/>
      <c r="D264" s="176" t="s">
        <v>818</v>
      </c>
      <c r="E264" s="162"/>
      <c r="F264" s="172"/>
      <c r="G264" s="172"/>
      <c r="H264" s="172"/>
      <c r="I264" s="162">
        <f>(0.75+2.69)</f>
        <v>3.44</v>
      </c>
      <c r="J264" s="164"/>
      <c r="K264" s="162"/>
      <c r="L264" s="163">
        <v>2</v>
      </c>
      <c r="M264" s="164"/>
      <c r="N264" s="163">
        <v>7.6</v>
      </c>
      <c r="O264" s="164"/>
      <c r="P264" s="173">
        <v>2.8</v>
      </c>
      <c r="Q264" s="173"/>
      <c r="R264" s="163">
        <f>L264*N264*P264-I264</f>
        <v>39.119999999999997</v>
      </c>
    </row>
    <row r="265" spans="3:18" ht="20.25">
      <c r="C265" s="174"/>
      <c r="D265" s="176"/>
      <c r="E265" s="171"/>
      <c r="F265" s="175"/>
      <c r="G265" s="175"/>
      <c r="H265" s="175"/>
      <c r="I265" s="175"/>
      <c r="J265" s="226"/>
      <c r="K265" s="184"/>
      <c r="L265" s="177"/>
      <c r="M265" s="176"/>
      <c r="N265" s="177"/>
      <c r="O265" s="176"/>
      <c r="P265" s="178"/>
      <c r="Q265" s="178"/>
      <c r="R265" s="177"/>
    </row>
    <row r="266" spans="3:18" ht="67.5" customHeight="1">
      <c r="C266" s="174" t="s">
        <v>967</v>
      </c>
      <c r="D266" s="654" t="s">
        <v>224</v>
      </c>
      <c r="E266" s="655"/>
      <c r="F266" s="655"/>
      <c r="G266" s="655"/>
      <c r="H266" s="655"/>
      <c r="I266" s="655"/>
      <c r="J266" s="655"/>
      <c r="K266" s="656"/>
      <c r="L266" s="641" t="s">
        <v>623</v>
      </c>
      <c r="M266" s="641"/>
      <c r="N266" s="641"/>
      <c r="O266" s="226"/>
      <c r="P266" s="183">
        <f>SUM(R269:R280)</f>
        <v>1834.85</v>
      </c>
      <c r="Q266" s="183"/>
      <c r="R266" s="184" t="s">
        <v>9</v>
      </c>
    </row>
    <row r="267" spans="3:18" ht="20.25">
      <c r="C267" s="174"/>
      <c r="D267" s="158" t="s">
        <v>640</v>
      </c>
      <c r="E267" s="232"/>
      <c r="F267" s="232"/>
      <c r="G267" s="232"/>
      <c r="H267" s="232"/>
      <c r="I267" s="156" t="s">
        <v>645</v>
      </c>
      <c r="J267" s="232"/>
      <c r="K267" s="232"/>
      <c r="L267" s="156" t="s">
        <v>638</v>
      </c>
      <c r="M267" s="226"/>
      <c r="N267" s="156" t="s">
        <v>817</v>
      </c>
      <c r="O267" s="226"/>
      <c r="P267" s="186" t="s">
        <v>639</v>
      </c>
      <c r="Q267" s="183"/>
      <c r="R267" s="188" t="s">
        <v>626</v>
      </c>
    </row>
    <row r="268" spans="3:18" ht="20.25">
      <c r="C268" s="174"/>
      <c r="D268" s="654" t="s">
        <v>682</v>
      </c>
      <c r="E268" s="655"/>
      <c r="F268" s="655"/>
      <c r="G268" s="655"/>
      <c r="H268" s="655"/>
      <c r="I268" s="655"/>
      <c r="J268" s="655"/>
      <c r="K268" s="655"/>
      <c r="L268" s="655"/>
      <c r="M268" s="655"/>
      <c r="N268" s="655"/>
      <c r="O268" s="655"/>
      <c r="P268" s="655"/>
      <c r="Q268" s="655"/>
      <c r="R268" s="656"/>
    </row>
    <row r="269" spans="3:18" ht="20.25">
      <c r="C269" s="174"/>
      <c r="D269" s="176" t="s">
        <v>822</v>
      </c>
      <c r="E269" s="171"/>
      <c r="F269" s="175"/>
      <c r="G269" s="175"/>
      <c r="H269" s="175"/>
      <c r="I269" s="171">
        <f>(25*3)+(6*2.69)</f>
        <v>91.14</v>
      </c>
      <c r="J269" s="176"/>
      <c r="K269" s="171"/>
      <c r="L269" s="177">
        <v>1</v>
      </c>
      <c r="M269" s="176"/>
      <c r="N269" s="177">
        <v>153</v>
      </c>
      <c r="O269" s="176"/>
      <c r="P269" s="178">
        <v>3.7</v>
      </c>
      <c r="Q269" s="178"/>
      <c r="R269" s="177">
        <f>L269*N269*P269-I269</f>
        <v>474.96000000000004</v>
      </c>
    </row>
    <row r="270" spans="3:18" ht="20.25">
      <c r="C270" s="174"/>
      <c r="D270" s="176" t="s">
        <v>1097</v>
      </c>
      <c r="E270" s="171"/>
      <c r="F270" s="175"/>
      <c r="G270" s="175"/>
      <c r="H270" s="175"/>
      <c r="I270" s="171">
        <v>0</v>
      </c>
      <c r="J270" s="176"/>
      <c r="K270" s="171"/>
      <c r="L270" s="177">
        <v>17</v>
      </c>
      <c r="M270" s="176"/>
      <c r="N270" s="177">
        <v>1.2</v>
      </c>
      <c r="O270" s="176"/>
      <c r="P270" s="178">
        <v>3.7</v>
      </c>
      <c r="Q270" s="178"/>
      <c r="R270" s="177">
        <f>L270*N270*P270-I270</f>
        <v>75.48</v>
      </c>
    </row>
    <row r="271" spans="3:18" ht="20.25">
      <c r="C271" s="174"/>
      <c r="D271" s="176" t="s">
        <v>824</v>
      </c>
      <c r="E271" s="171"/>
      <c r="F271" s="175"/>
      <c r="G271" s="175"/>
      <c r="H271" s="175"/>
      <c r="I271" s="171">
        <v>0</v>
      </c>
      <c r="J271" s="176"/>
      <c r="K271" s="171"/>
      <c r="L271" s="177">
        <v>2</v>
      </c>
      <c r="M271" s="176"/>
      <c r="N271" s="177">
        <v>53.55</v>
      </c>
      <c r="O271" s="176"/>
      <c r="P271" s="178">
        <v>1.1000000000000001</v>
      </c>
      <c r="Q271" s="178"/>
      <c r="R271" s="177">
        <f>L271*N271*P271-I271</f>
        <v>117.81</v>
      </c>
    </row>
    <row r="272" spans="3:18" ht="20.25">
      <c r="C272" s="174"/>
      <c r="D272" s="658" t="s">
        <v>650</v>
      </c>
      <c r="E272" s="659"/>
      <c r="F272" s="659"/>
      <c r="G272" s="659"/>
      <c r="H272" s="659"/>
      <c r="I272" s="659"/>
      <c r="J272" s="659"/>
      <c r="K272" s="659"/>
      <c r="L272" s="659"/>
      <c r="M272" s="659"/>
      <c r="N272" s="659"/>
      <c r="O272" s="659"/>
      <c r="P272" s="659"/>
      <c r="Q272" s="659"/>
      <c r="R272" s="660"/>
    </row>
    <row r="273" spans="3:18" ht="20.25">
      <c r="C273" s="174"/>
      <c r="D273" s="176" t="s">
        <v>822</v>
      </c>
      <c r="E273" s="171"/>
      <c r="F273" s="175"/>
      <c r="G273" s="175"/>
      <c r="H273" s="175"/>
      <c r="I273" s="171">
        <f>(25*3)+(6*2.69)</f>
        <v>91.14</v>
      </c>
      <c r="J273" s="176"/>
      <c r="K273" s="171"/>
      <c r="L273" s="177">
        <v>1</v>
      </c>
      <c r="M273" s="176"/>
      <c r="N273" s="177">
        <v>153</v>
      </c>
      <c r="O273" s="176"/>
      <c r="P273" s="178">
        <v>2.8</v>
      </c>
      <c r="Q273" s="178"/>
      <c r="R273" s="177">
        <f>L273*N273*P273-I273</f>
        <v>337.26</v>
      </c>
    </row>
    <row r="274" spans="3:18" ht="20.25">
      <c r="C274" s="174"/>
      <c r="D274" s="176" t="s">
        <v>1097</v>
      </c>
      <c r="E274" s="171"/>
      <c r="F274" s="175"/>
      <c r="G274" s="175"/>
      <c r="H274" s="175"/>
      <c r="I274" s="171">
        <v>0</v>
      </c>
      <c r="J274" s="176"/>
      <c r="K274" s="171"/>
      <c r="L274" s="177">
        <v>17</v>
      </c>
      <c r="M274" s="176"/>
      <c r="N274" s="177">
        <v>1.2</v>
      </c>
      <c r="O274" s="176"/>
      <c r="P274" s="178">
        <v>2.8</v>
      </c>
      <c r="Q274" s="178"/>
      <c r="R274" s="177">
        <f>L274*N274*P274-I274</f>
        <v>57.11999999999999</v>
      </c>
    </row>
    <row r="275" spans="3:18" ht="20.25">
      <c r="C275" s="174"/>
      <c r="D275" s="176" t="s">
        <v>824</v>
      </c>
      <c r="E275" s="171"/>
      <c r="F275" s="175"/>
      <c r="G275" s="175"/>
      <c r="H275" s="175"/>
      <c r="I275" s="171">
        <v>0</v>
      </c>
      <c r="J275" s="176"/>
      <c r="K275" s="171"/>
      <c r="L275" s="177">
        <v>2</v>
      </c>
      <c r="M275" s="176"/>
      <c r="N275" s="177">
        <v>64.099999999999994</v>
      </c>
      <c r="O275" s="176"/>
      <c r="P275" s="178">
        <v>1.1000000000000001</v>
      </c>
      <c r="Q275" s="178"/>
      <c r="R275" s="177">
        <f>L275*N275*P275-I275</f>
        <v>141.02000000000001</v>
      </c>
    </row>
    <row r="276" spans="3:18" ht="20.25">
      <c r="C276" s="174"/>
      <c r="D276" s="176" t="s">
        <v>825</v>
      </c>
      <c r="E276" s="171"/>
      <c r="F276" s="175"/>
      <c r="G276" s="175"/>
      <c r="H276" s="175"/>
      <c r="I276" s="171">
        <v>0</v>
      </c>
      <c r="J276" s="176"/>
      <c r="K276" s="171"/>
      <c r="L276" s="177">
        <v>2</v>
      </c>
      <c r="M276" s="176"/>
      <c r="N276" s="177">
        <v>60</v>
      </c>
      <c r="O276" s="176"/>
      <c r="P276" s="178">
        <v>1.1000000000000001</v>
      </c>
      <c r="Q276" s="178"/>
      <c r="R276" s="177">
        <f>L276*N276*P276-I276</f>
        <v>132</v>
      </c>
    </row>
    <row r="277" spans="3:18" ht="20.25">
      <c r="C277" s="304"/>
      <c r="D277" s="164"/>
      <c r="E277" s="189"/>
      <c r="F277" s="189"/>
      <c r="G277" s="189"/>
      <c r="H277" s="189"/>
      <c r="I277" s="164"/>
      <c r="J277" s="189"/>
      <c r="K277" s="189"/>
      <c r="L277" s="163"/>
      <c r="M277" s="164"/>
      <c r="N277" s="163"/>
      <c r="O277" s="164"/>
      <c r="P277" s="173"/>
      <c r="Q277" s="173"/>
      <c r="R277" s="163"/>
    </row>
    <row r="278" spans="3:18" ht="20.25">
      <c r="C278" s="174"/>
      <c r="D278" s="658" t="s">
        <v>651</v>
      </c>
      <c r="E278" s="659"/>
      <c r="F278" s="659"/>
      <c r="G278" s="659"/>
      <c r="H278" s="659"/>
      <c r="I278" s="659"/>
      <c r="J278" s="659"/>
      <c r="K278" s="659"/>
      <c r="L278" s="659"/>
      <c r="M278" s="659"/>
      <c r="N278" s="659"/>
      <c r="O278" s="659"/>
      <c r="P278" s="659"/>
      <c r="Q278" s="659"/>
      <c r="R278" s="660"/>
    </row>
    <row r="279" spans="3:18" ht="20.25">
      <c r="C279" s="304"/>
      <c r="D279" s="158" t="s">
        <v>1096</v>
      </c>
      <c r="E279" s="189"/>
      <c r="F279" s="189"/>
      <c r="G279" s="189"/>
      <c r="H279" s="189"/>
      <c r="I279" s="164"/>
      <c r="J279" s="189"/>
      <c r="K279" s="189"/>
      <c r="L279" s="163">
        <v>1</v>
      </c>
      <c r="M279" s="164"/>
      <c r="N279" s="163">
        <v>156</v>
      </c>
      <c r="O279" s="164"/>
      <c r="P279" s="173">
        <v>3.2</v>
      </c>
      <c r="Q279" s="173"/>
      <c r="R279" s="163">
        <f>L279*N279*P279</f>
        <v>499.20000000000005</v>
      </c>
    </row>
    <row r="280" spans="3:18" ht="20.25">
      <c r="C280" s="174"/>
      <c r="D280" s="176"/>
      <c r="E280" s="171"/>
      <c r="F280" s="175"/>
      <c r="G280" s="175"/>
      <c r="H280" s="175"/>
      <c r="I280" s="175"/>
      <c r="J280" s="176"/>
      <c r="K280" s="171"/>
      <c r="L280" s="177"/>
      <c r="M280" s="176"/>
      <c r="N280" s="177"/>
      <c r="O280" s="176"/>
      <c r="P280" s="178"/>
      <c r="Q280" s="178"/>
      <c r="R280" s="177"/>
    </row>
    <row r="281" spans="3:18" ht="69" customHeight="1">
      <c r="C281" s="174" t="s">
        <v>968</v>
      </c>
      <c r="D281" s="638" t="s">
        <v>396</v>
      </c>
      <c r="E281" s="639"/>
      <c r="F281" s="639"/>
      <c r="G281" s="639"/>
      <c r="H281" s="639"/>
      <c r="I281" s="639"/>
      <c r="J281" s="639"/>
      <c r="K281" s="640"/>
      <c r="L281" s="641" t="s">
        <v>623</v>
      </c>
      <c r="M281" s="641"/>
      <c r="N281" s="641"/>
      <c r="O281" s="226"/>
      <c r="P281" s="183">
        <f>SUM(R284:R288)</f>
        <v>646.10199999999986</v>
      </c>
      <c r="Q281" s="183"/>
      <c r="R281" s="184" t="s">
        <v>9</v>
      </c>
    </row>
    <row r="282" spans="3:18" ht="20.25">
      <c r="C282" s="174"/>
      <c r="D282" s="654" t="s">
        <v>682</v>
      </c>
      <c r="E282" s="655"/>
      <c r="F282" s="655"/>
      <c r="G282" s="655"/>
      <c r="H282" s="655"/>
      <c r="I282" s="655"/>
      <c r="J282" s="655"/>
      <c r="K282" s="655"/>
      <c r="L282" s="655"/>
      <c r="M282" s="655"/>
      <c r="N282" s="655"/>
      <c r="O282" s="655"/>
      <c r="P282" s="655"/>
      <c r="Q282" s="655"/>
      <c r="R282" s="656"/>
    </row>
    <row r="283" spans="3:18" ht="20.25">
      <c r="C283" s="169"/>
      <c r="D283" s="155" t="s">
        <v>640</v>
      </c>
      <c r="E283" s="170"/>
      <c r="F283" s="170"/>
      <c r="G283" s="170"/>
      <c r="H283" s="170"/>
      <c r="I283" s="156" t="s">
        <v>645</v>
      </c>
      <c r="J283" s="161"/>
      <c r="K283" s="161"/>
      <c r="L283" s="156" t="s">
        <v>638</v>
      </c>
      <c r="M283" s="152"/>
      <c r="N283" s="156" t="s">
        <v>817</v>
      </c>
      <c r="O283" s="152"/>
      <c r="P283" s="156" t="s">
        <v>639</v>
      </c>
      <c r="Q283" s="153"/>
      <c r="R283" s="157" t="s">
        <v>626</v>
      </c>
    </row>
    <row r="284" spans="3:18" ht="20.25">
      <c r="C284" s="169"/>
      <c r="D284" s="164" t="s">
        <v>827</v>
      </c>
      <c r="E284" s="162"/>
      <c r="F284" s="172"/>
      <c r="G284" s="172"/>
      <c r="H284" s="172"/>
      <c r="I284" s="162">
        <f>(4*3)+2.69</f>
        <v>14.69</v>
      </c>
      <c r="J284" s="164"/>
      <c r="K284" s="162"/>
      <c r="L284" s="163">
        <v>6</v>
      </c>
      <c r="M284" s="164"/>
      <c r="N284" s="163">
        <v>31.45</v>
      </c>
      <c r="O284" s="164"/>
      <c r="P284" s="173">
        <v>2.8</v>
      </c>
      <c r="Q284" s="173"/>
      <c r="R284" s="163">
        <f>L284*N284*P284-I284</f>
        <v>513.66999999999985</v>
      </c>
    </row>
    <row r="285" spans="3:18" ht="20.25">
      <c r="C285" s="169"/>
      <c r="D285" s="164" t="s">
        <v>828</v>
      </c>
      <c r="E285" s="162"/>
      <c r="F285" s="172"/>
      <c r="G285" s="172"/>
      <c r="H285" s="172"/>
      <c r="I285" s="162">
        <f>3+2.69</f>
        <v>5.6899999999999995</v>
      </c>
      <c r="J285" s="164"/>
      <c r="K285" s="162"/>
      <c r="L285" s="163">
        <v>1</v>
      </c>
      <c r="M285" s="164"/>
      <c r="N285" s="163">
        <v>18.34</v>
      </c>
      <c r="O285" s="164"/>
      <c r="P285" s="173">
        <v>2.8</v>
      </c>
      <c r="Q285" s="173"/>
      <c r="R285" s="163">
        <f>L285*N285*P285-I285</f>
        <v>45.661999999999999</v>
      </c>
    </row>
    <row r="286" spans="3:18" ht="20.25">
      <c r="C286" s="169"/>
      <c r="D286" s="176" t="s">
        <v>810</v>
      </c>
      <c r="E286" s="162"/>
      <c r="F286" s="172"/>
      <c r="G286" s="172"/>
      <c r="H286" s="172"/>
      <c r="I286" s="172"/>
      <c r="J286" s="164"/>
      <c r="K286" s="162"/>
      <c r="L286" s="163"/>
      <c r="M286" s="164"/>
      <c r="N286" s="163">
        <v>9.4</v>
      </c>
      <c r="O286" s="164"/>
      <c r="P286" s="173">
        <v>1.1000000000000001</v>
      </c>
      <c r="Q286" s="173"/>
      <c r="R286" s="163">
        <f>N286*P286</f>
        <v>10.340000000000002</v>
      </c>
    </row>
    <row r="287" spans="3:18" ht="20.25">
      <c r="C287" s="169"/>
      <c r="D287" s="164"/>
      <c r="E287" s="162"/>
      <c r="F287" s="172"/>
      <c r="G287" s="172"/>
      <c r="H287" s="172"/>
      <c r="I287" s="172"/>
      <c r="J287" s="164"/>
      <c r="K287" s="162"/>
      <c r="L287" s="163"/>
      <c r="M287" s="164"/>
      <c r="N287" s="163">
        <v>12.2</v>
      </c>
      <c r="O287" s="164"/>
      <c r="P287" s="173">
        <v>2.8</v>
      </c>
      <c r="Q287" s="173"/>
      <c r="R287" s="163">
        <f>N287*P287</f>
        <v>34.159999999999997</v>
      </c>
    </row>
    <row r="288" spans="3:18" ht="20.25">
      <c r="C288" s="169"/>
      <c r="D288" s="164" t="s">
        <v>819</v>
      </c>
      <c r="E288" s="162"/>
      <c r="F288" s="172"/>
      <c r="G288" s="172"/>
      <c r="H288" s="172"/>
      <c r="I288" s="162">
        <f>5*2.69</f>
        <v>13.45</v>
      </c>
      <c r="J288" s="164"/>
      <c r="K288" s="162"/>
      <c r="L288" s="163">
        <v>1</v>
      </c>
      <c r="M288" s="164"/>
      <c r="N288" s="163">
        <v>19.899999999999999</v>
      </c>
      <c r="O288" s="164"/>
      <c r="P288" s="173">
        <v>2.8</v>
      </c>
      <c r="Q288" s="173"/>
      <c r="R288" s="163">
        <f>N288*P288*L288-I288</f>
        <v>42.269999999999996</v>
      </c>
    </row>
    <row r="289" spans="3:19" ht="20.25">
      <c r="C289" s="174"/>
      <c r="D289" s="190"/>
      <c r="E289" s="179"/>
      <c r="F289" s="180"/>
      <c r="G289" s="180"/>
      <c r="H289" s="180"/>
      <c r="I289" s="180"/>
      <c r="J289" s="181"/>
      <c r="K289" s="182"/>
      <c r="L289" s="177"/>
      <c r="M289" s="176"/>
      <c r="N289" s="177"/>
      <c r="O289" s="176"/>
      <c r="P289" s="178"/>
      <c r="Q289" s="178"/>
      <c r="R289" s="177"/>
    </row>
    <row r="290" spans="3:19" ht="42" customHeight="1">
      <c r="C290" s="174" t="s">
        <v>969</v>
      </c>
      <c r="D290" s="638" t="s">
        <v>225</v>
      </c>
      <c r="E290" s="639"/>
      <c r="F290" s="639"/>
      <c r="G290" s="639"/>
      <c r="H290" s="639"/>
      <c r="I290" s="639"/>
      <c r="J290" s="639"/>
      <c r="K290" s="640"/>
      <c r="L290" s="641" t="s">
        <v>623</v>
      </c>
      <c r="M290" s="641"/>
      <c r="N290" s="641"/>
      <c r="O290" s="226"/>
      <c r="P290" s="183">
        <f>SUM(R293:R297)</f>
        <v>381.48700000000002</v>
      </c>
      <c r="Q290" s="183"/>
      <c r="R290" s="184" t="s">
        <v>9</v>
      </c>
    </row>
    <row r="291" spans="3:19" ht="20.25">
      <c r="C291" s="174"/>
      <c r="D291" s="654" t="s">
        <v>682</v>
      </c>
      <c r="E291" s="655"/>
      <c r="F291" s="655"/>
      <c r="G291" s="655"/>
      <c r="H291" s="655"/>
      <c r="I291" s="655"/>
      <c r="J291" s="655"/>
      <c r="K291" s="655"/>
      <c r="L291" s="655"/>
      <c r="M291" s="655"/>
      <c r="N291" s="655"/>
      <c r="O291" s="655"/>
      <c r="P291" s="655"/>
      <c r="Q291" s="655"/>
      <c r="R291" s="656"/>
    </row>
    <row r="292" spans="3:19" ht="20.25">
      <c r="C292" s="174"/>
      <c r="D292" s="158" t="s">
        <v>640</v>
      </c>
      <c r="E292" s="227"/>
      <c r="F292" s="175"/>
      <c r="G292" s="175"/>
      <c r="H292" s="175"/>
      <c r="I292" s="175"/>
      <c r="J292" s="226"/>
      <c r="K292" s="184"/>
      <c r="L292" s="156" t="s">
        <v>638</v>
      </c>
      <c r="M292" s="226"/>
      <c r="N292" s="156" t="s">
        <v>817</v>
      </c>
      <c r="O292" s="226"/>
      <c r="P292" s="186" t="s">
        <v>639</v>
      </c>
      <c r="Q292" s="183"/>
      <c r="R292" s="188" t="s">
        <v>626</v>
      </c>
    </row>
    <row r="293" spans="3:19" ht="20.25">
      <c r="C293" s="169"/>
      <c r="D293" s="176" t="s">
        <v>830</v>
      </c>
      <c r="E293" s="162"/>
      <c r="F293" s="172"/>
      <c r="G293" s="172"/>
      <c r="H293" s="172"/>
      <c r="I293" s="162">
        <f>(0.75+2.69)</f>
        <v>3.44</v>
      </c>
      <c r="J293" s="164"/>
      <c r="K293" s="162"/>
      <c r="L293" s="163">
        <v>2</v>
      </c>
      <c r="M293" s="164"/>
      <c r="N293" s="163">
        <v>19.2</v>
      </c>
      <c r="O293" s="164"/>
      <c r="P293" s="173">
        <v>2.8</v>
      </c>
      <c r="Q293" s="173"/>
      <c r="R293" s="163">
        <f>L293*N293*P293-I293</f>
        <v>104.08</v>
      </c>
    </row>
    <row r="294" spans="3:19" ht="20.25">
      <c r="C294" s="169"/>
      <c r="D294" s="176" t="s">
        <v>831</v>
      </c>
      <c r="E294" s="162"/>
      <c r="F294" s="172"/>
      <c r="G294" s="172"/>
      <c r="H294" s="172"/>
      <c r="I294" s="162">
        <f>(0.75+2.69)</f>
        <v>3.44</v>
      </c>
      <c r="J294" s="164"/>
      <c r="K294" s="162"/>
      <c r="L294" s="163">
        <v>2</v>
      </c>
      <c r="M294" s="164"/>
      <c r="N294" s="163">
        <v>7.6</v>
      </c>
      <c r="O294" s="164"/>
      <c r="P294" s="173">
        <v>2.8</v>
      </c>
      <c r="Q294" s="173"/>
      <c r="R294" s="163">
        <f>L294*N294*P294-I294</f>
        <v>39.119999999999997</v>
      </c>
    </row>
    <row r="295" spans="3:19" ht="20.25">
      <c r="C295" s="169"/>
      <c r="D295" s="164" t="s">
        <v>819</v>
      </c>
      <c r="E295" s="162"/>
      <c r="F295" s="172"/>
      <c r="G295" s="172"/>
      <c r="H295" s="172"/>
      <c r="I295" s="162"/>
      <c r="J295" s="164"/>
      <c r="K295" s="162"/>
      <c r="L295" s="163">
        <v>1</v>
      </c>
      <c r="M295" s="164"/>
      <c r="N295" s="163">
        <v>19.899999999999999</v>
      </c>
      <c r="O295" s="164"/>
      <c r="P295" s="173">
        <v>1.05</v>
      </c>
      <c r="Q295" s="173"/>
      <c r="R295" s="163">
        <f>N295*P295*L295-I295</f>
        <v>20.895</v>
      </c>
      <c r="S295" s="203">
        <f>R295+R296+R297</f>
        <v>238.28700000000001</v>
      </c>
    </row>
    <row r="296" spans="3:19" ht="20.25">
      <c r="C296" s="169"/>
      <c r="D296" s="164" t="s">
        <v>827</v>
      </c>
      <c r="E296" s="162"/>
      <c r="F296" s="172"/>
      <c r="G296" s="172"/>
      <c r="H296" s="172"/>
      <c r="I296" s="162"/>
      <c r="J296" s="164"/>
      <c r="K296" s="162"/>
      <c r="L296" s="163">
        <v>6</v>
      </c>
      <c r="M296" s="164"/>
      <c r="N296" s="163">
        <v>31.45</v>
      </c>
      <c r="O296" s="164"/>
      <c r="P296" s="173">
        <v>1.05</v>
      </c>
      <c r="Q296" s="173"/>
      <c r="R296" s="163">
        <f>L296*N296*P296-I296</f>
        <v>198.13499999999999</v>
      </c>
    </row>
    <row r="297" spans="3:19" ht="20.25">
      <c r="C297" s="169"/>
      <c r="D297" s="164" t="s">
        <v>828</v>
      </c>
      <c r="E297" s="162"/>
      <c r="F297" s="172"/>
      <c r="G297" s="172"/>
      <c r="H297" s="172"/>
      <c r="I297" s="162"/>
      <c r="J297" s="164"/>
      <c r="K297" s="162"/>
      <c r="L297" s="163">
        <v>1</v>
      </c>
      <c r="M297" s="164"/>
      <c r="N297" s="163">
        <v>18.34</v>
      </c>
      <c r="O297" s="164"/>
      <c r="P297" s="173">
        <v>1.05</v>
      </c>
      <c r="Q297" s="173"/>
      <c r="R297" s="163">
        <f>L297*N297*P297-I297</f>
        <v>19.257000000000001</v>
      </c>
    </row>
    <row r="298" spans="3:19" ht="20.25">
      <c r="C298" s="169"/>
      <c r="D298" s="176"/>
      <c r="E298" s="162"/>
      <c r="F298" s="172"/>
      <c r="G298" s="172"/>
      <c r="H298" s="172"/>
      <c r="I298" s="162"/>
      <c r="J298" s="164"/>
      <c r="K298" s="162"/>
      <c r="L298" s="163"/>
      <c r="M298" s="164"/>
      <c r="N298" s="163"/>
      <c r="O298" s="164"/>
      <c r="P298" s="173"/>
      <c r="Q298" s="173"/>
      <c r="R298" s="163"/>
    </row>
    <row r="299" spans="3:19" s="221" customFormat="1" ht="42.75" customHeight="1">
      <c r="C299" s="174" t="s">
        <v>970</v>
      </c>
      <c r="D299" s="638" t="s">
        <v>246</v>
      </c>
      <c r="E299" s="639"/>
      <c r="F299" s="639"/>
      <c r="G299" s="639"/>
      <c r="H299" s="639"/>
      <c r="I299" s="639"/>
      <c r="J299" s="639"/>
      <c r="K299" s="640"/>
      <c r="L299" s="641" t="s">
        <v>623</v>
      </c>
      <c r="M299" s="641"/>
      <c r="N299" s="641"/>
      <c r="O299" s="226"/>
      <c r="P299" s="183">
        <f>SUM(R302+R305+R440)</f>
        <v>1008.8699999999999</v>
      </c>
      <c r="Q299" s="183"/>
      <c r="R299" s="184" t="s">
        <v>9</v>
      </c>
    </row>
    <row r="300" spans="3:19" s="221" customFormat="1" ht="20.25">
      <c r="C300" s="174"/>
      <c r="D300" s="158" t="s">
        <v>640</v>
      </c>
      <c r="E300" s="232"/>
      <c r="F300" s="232"/>
      <c r="G300" s="232"/>
      <c r="H300" s="232"/>
      <c r="I300" s="186" t="s">
        <v>645</v>
      </c>
      <c r="J300" s="232"/>
      <c r="K300" s="232"/>
      <c r="L300" s="186" t="s">
        <v>638</v>
      </c>
      <c r="M300" s="226"/>
      <c r="N300" s="186" t="s">
        <v>817</v>
      </c>
      <c r="O300" s="226"/>
      <c r="P300" s="186" t="s">
        <v>639</v>
      </c>
      <c r="Q300" s="183"/>
      <c r="R300" s="188" t="s">
        <v>626</v>
      </c>
    </row>
    <row r="301" spans="3:19" s="221" customFormat="1" ht="20.25">
      <c r="C301" s="174"/>
      <c r="D301" s="654" t="s">
        <v>682</v>
      </c>
      <c r="E301" s="655"/>
      <c r="F301" s="655"/>
      <c r="G301" s="655"/>
      <c r="H301" s="655"/>
      <c r="I301" s="655"/>
      <c r="J301" s="655"/>
      <c r="K301" s="655"/>
      <c r="L301" s="655"/>
      <c r="M301" s="655"/>
      <c r="N301" s="655"/>
      <c r="O301" s="655"/>
      <c r="P301" s="655"/>
      <c r="Q301" s="655"/>
      <c r="R301" s="656"/>
    </row>
    <row r="302" spans="3:19" s="221" customFormat="1" ht="20.25">
      <c r="C302" s="174"/>
      <c r="D302" s="176" t="s">
        <v>822</v>
      </c>
      <c r="E302" s="171"/>
      <c r="F302" s="175"/>
      <c r="G302" s="175"/>
      <c r="H302" s="175"/>
      <c r="I302" s="297">
        <f>(25*3)+(6*2.69)+R430</f>
        <v>181.79000000000002</v>
      </c>
      <c r="J302" s="176"/>
      <c r="K302" s="171"/>
      <c r="L302" s="177">
        <v>1</v>
      </c>
      <c r="M302" s="176"/>
      <c r="N302" s="177">
        <v>152</v>
      </c>
      <c r="O302" s="176"/>
      <c r="P302" s="178">
        <v>2.8</v>
      </c>
      <c r="Q302" s="178"/>
      <c r="R302" s="177">
        <f>L302*N302*P302-I302</f>
        <v>243.80999999999995</v>
      </c>
    </row>
    <row r="303" spans="3:19" s="221" customFormat="1" ht="20.25">
      <c r="C303" s="174"/>
      <c r="D303" s="176"/>
      <c r="E303" s="171"/>
      <c r="F303" s="175"/>
      <c r="G303" s="175"/>
      <c r="H303" s="175"/>
      <c r="I303" s="171"/>
      <c r="J303" s="176"/>
      <c r="K303" s="171"/>
      <c r="L303" s="177"/>
      <c r="M303" s="176"/>
      <c r="N303" s="177"/>
      <c r="O303" s="176"/>
      <c r="P303" s="178"/>
      <c r="Q303" s="178"/>
      <c r="R303" s="177"/>
    </row>
    <row r="304" spans="3:19" s="221" customFormat="1" ht="20.25">
      <c r="C304" s="174"/>
      <c r="D304" s="642" t="s">
        <v>650</v>
      </c>
      <c r="E304" s="643"/>
      <c r="F304" s="643"/>
      <c r="G304" s="643"/>
      <c r="H304" s="643"/>
      <c r="I304" s="643"/>
      <c r="J304" s="643"/>
      <c r="K304" s="643"/>
      <c r="L304" s="643"/>
      <c r="M304" s="643"/>
      <c r="N304" s="643"/>
      <c r="O304" s="643"/>
      <c r="P304" s="643"/>
      <c r="Q304" s="643"/>
      <c r="R304" s="644"/>
    </row>
    <row r="305" spans="3:18" s="221" customFormat="1" ht="20.25">
      <c r="C305" s="174"/>
      <c r="D305" s="176" t="s">
        <v>822</v>
      </c>
      <c r="E305" s="171"/>
      <c r="F305" s="175"/>
      <c r="G305" s="175"/>
      <c r="H305" s="175"/>
      <c r="I305" s="297">
        <f>(25*3)+(6*2.69)+R471</f>
        <v>159.74</v>
      </c>
      <c r="J305" s="176"/>
      <c r="K305" s="171"/>
      <c r="L305" s="177">
        <v>1</v>
      </c>
      <c r="M305" s="176"/>
      <c r="N305" s="177">
        <v>152</v>
      </c>
      <c r="O305" s="176"/>
      <c r="P305" s="178">
        <v>2.8</v>
      </c>
      <c r="Q305" s="178"/>
      <c r="R305" s="177">
        <f>L305*N305*P305-I305</f>
        <v>265.85999999999996</v>
      </c>
    </row>
    <row r="306" spans="3:18" s="221" customFormat="1" ht="20.25">
      <c r="C306" s="174"/>
      <c r="D306" s="176"/>
      <c r="E306" s="171"/>
      <c r="F306" s="175"/>
      <c r="G306" s="175"/>
      <c r="H306" s="175"/>
      <c r="I306" s="171"/>
      <c r="J306" s="176"/>
      <c r="K306" s="171"/>
      <c r="L306" s="177"/>
      <c r="M306" s="176"/>
      <c r="N306" s="177"/>
      <c r="O306" s="176"/>
      <c r="P306" s="178"/>
      <c r="Q306" s="178"/>
      <c r="R306" s="177"/>
    </row>
    <row r="307" spans="3:18" ht="20.25" customHeight="1">
      <c r="C307" s="174" t="s">
        <v>971</v>
      </c>
      <c r="D307" s="638" t="s">
        <v>507</v>
      </c>
      <c r="E307" s="639"/>
      <c r="F307" s="639"/>
      <c r="G307" s="639"/>
      <c r="H307" s="639"/>
      <c r="I307" s="639"/>
      <c r="J307" s="639"/>
      <c r="K307" s="640"/>
      <c r="L307" s="641" t="s">
        <v>623</v>
      </c>
      <c r="M307" s="641"/>
      <c r="N307" s="641"/>
      <c r="O307" s="226"/>
      <c r="P307" s="183">
        <f>R309</f>
        <v>993.6</v>
      </c>
      <c r="Q307" s="183"/>
      <c r="R307" s="184" t="s">
        <v>9</v>
      </c>
    </row>
    <row r="308" spans="3:18" ht="20.25">
      <c r="C308" s="174"/>
      <c r="D308" s="158" t="s">
        <v>640</v>
      </c>
      <c r="E308" s="189"/>
      <c r="F308" s="189"/>
      <c r="G308" s="189"/>
      <c r="H308" s="189"/>
      <c r="I308" s="164"/>
      <c r="J308" s="189"/>
      <c r="K308" s="189"/>
      <c r="L308" s="163"/>
      <c r="M308" s="164"/>
      <c r="N308" s="156" t="s">
        <v>817</v>
      </c>
      <c r="O308" s="226"/>
      <c r="P308" s="186" t="s">
        <v>639</v>
      </c>
      <c r="Q308" s="173"/>
      <c r="R308" s="188" t="s">
        <v>626</v>
      </c>
    </row>
    <row r="309" spans="3:18" ht="20.25">
      <c r="C309" s="174"/>
      <c r="D309" s="176" t="s">
        <v>870</v>
      </c>
      <c r="E309" s="171"/>
      <c r="F309" s="175"/>
      <c r="G309" s="175"/>
      <c r="H309" s="175"/>
      <c r="I309" s="175"/>
      <c r="J309" s="176"/>
      <c r="K309" s="171"/>
      <c r="L309" s="177"/>
      <c r="M309" s="176"/>
      <c r="N309" s="177">
        <v>144</v>
      </c>
      <c r="O309" s="176"/>
      <c r="P309" s="178">
        <f>8.4-1.5</f>
        <v>6.9</v>
      </c>
      <c r="Q309" s="178"/>
      <c r="R309" s="177">
        <f>N309*P309</f>
        <v>993.6</v>
      </c>
    </row>
    <row r="310" spans="3:18" ht="20.25">
      <c r="C310" s="174"/>
      <c r="D310" s="176"/>
      <c r="E310" s="171"/>
      <c r="F310" s="175"/>
      <c r="G310" s="175"/>
      <c r="H310" s="175"/>
      <c r="I310" s="175"/>
      <c r="J310" s="176"/>
      <c r="K310" s="171"/>
      <c r="L310" s="177"/>
      <c r="M310" s="176"/>
      <c r="N310" s="177"/>
      <c r="O310" s="176"/>
      <c r="P310" s="178"/>
      <c r="Q310" s="178"/>
      <c r="R310" s="177"/>
    </row>
    <row r="311" spans="3:18" ht="20.25">
      <c r="C311" s="168" t="s">
        <v>188</v>
      </c>
      <c r="D311" s="657" t="s">
        <v>4</v>
      </c>
      <c r="E311" s="657"/>
      <c r="F311" s="657"/>
      <c r="G311" s="657"/>
      <c r="H311" s="657"/>
      <c r="I311" s="657"/>
      <c r="J311" s="657"/>
      <c r="K311" s="657"/>
      <c r="L311" s="657"/>
      <c r="M311" s="657"/>
      <c r="N311" s="657"/>
      <c r="O311" s="657"/>
      <c r="P311" s="657"/>
      <c r="Q311" s="657"/>
      <c r="R311" s="657"/>
    </row>
    <row r="312" spans="3:18" ht="24" customHeight="1">
      <c r="C312" s="174" t="s">
        <v>140</v>
      </c>
      <c r="D312" s="665" t="s">
        <v>859</v>
      </c>
      <c r="E312" s="665"/>
      <c r="F312" s="665"/>
      <c r="G312" s="665"/>
      <c r="H312" s="665"/>
      <c r="I312" s="665"/>
      <c r="J312" s="665"/>
      <c r="K312" s="665"/>
      <c r="L312" s="641" t="s">
        <v>623</v>
      </c>
      <c r="M312" s="641"/>
      <c r="N312" s="641"/>
      <c r="O312" s="226"/>
      <c r="P312" s="183">
        <f>SUM(R315:R321)</f>
        <v>745.37</v>
      </c>
      <c r="Q312" s="183"/>
      <c r="R312" s="184" t="s">
        <v>9</v>
      </c>
    </row>
    <row r="313" spans="3:18" ht="23.25" customHeight="1">
      <c r="C313" s="169"/>
      <c r="D313" s="155" t="s">
        <v>640</v>
      </c>
      <c r="E313" s="170"/>
      <c r="F313" s="170"/>
      <c r="G313" s="170"/>
      <c r="H313" s="170"/>
      <c r="I313" s="170"/>
      <c r="J313" s="161"/>
      <c r="K313" s="161"/>
      <c r="L313" s="186" t="s">
        <v>638</v>
      </c>
      <c r="M313" s="226"/>
      <c r="N313" s="186" t="s">
        <v>811</v>
      </c>
      <c r="O313" s="226"/>
      <c r="P313" s="186"/>
      <c r="Q313" s="153"/>
      <c r="R313" s="157" t="s">
        <v>626</v>
      </c>
    </row>
    <row r="314" spans="3:18" ht="20.25">
      <c r="C314" s="169"/>
      <c r="D314" s="645" t="s">
        <v>682</v>
      </c>
      <c r="E314" s="646"/>
      <c r="F314" s="646"/>
      <c r="G314" s="646"/>
      <c r="H314" s="646"/>
      <c r="I314" s="646"/>
      <c r="J314" s="646"/>
      <c r="K314" s="646"/>
      <c r="L314" s="646"/>
      <c r="M314" s="646"/>
      <c r="N314" s="646"/>
      <c r="O314" s="646"/>
      <c r="P314" s="646"/>
      <c r="Q314" s="646"/>
      <c r="R314" s="647"/>
    </row>
    <row r="315" spans="3:18" ht="20.25">
      <c r="C315" s="169"/>
      <c r="D315" s="164" t="s">
        <v>860</v>
      </c>
      <c r="E315" s="162"/>
      <c r="F315" s="172"/>
      <c r="G315" s="172"/>
      <c r="H315" s="172"/>
      <c r="I315" s="172"/>
      <c r="J315" s="164"/>
      <c r="K315" s="162"/>
      <c r="L315" s="163">
        <v>6</v>
      </c>
      <c r="M315" s="164"/>
      <c r="N315" s="163">
        <v>62</v>
      </c>
      <c r="O315" s="164"/>
      <c r="P315" s="173"/>
      <c r="Q315" s="173"/>
      <c r="R315" s="163">
        <f t="shared" ref="R315:R320" si="3">L315*N315</f>
        <v>372</v>
      </c>
    </row>
    <row r="316" spans="3:18" ht="20.25">
      <c r="C316" s="169"/>
      <c r="D316" s="164" t="s">
        <v>828</v>
      </c>
      <c r="E316" s="162"/>
      <c r="F316" s="172"/>
      <c r="G316" s="172"/>
      <c r="H316" s="172"/>
      <c r="I316" s="172"/>
      <c r="J316" s="164"/>
      <c r="K316" s="162"/>
      <c r="L316" s="163">
        <v>1</v>
      </c>
      <c r="M316" s="164"/>
      <c r="N316" s="163">
        <v>21.01</v>
      </c>
      <c r="O316" s="164"/>
      <c r="P316" s="173"/>
      <c r="Q316" s="173"/>
      <c r="R316" s="163">
        <f t="shared" si="3"/>
        <v>21.01</v>
      </c>
    </row>
    <row r="317" spans="3:18" s="221" customFormat="1" ht="20.25">
      <c r="C317" s="174"/>
      <c r="D317" s="176" t="s">
        <v>829</v>
      </c>
      <c r="E317" s="171"/>
      <c r="F317" s="175"/>
      <c r="G317" s="175"/>
      <c r="H317" s="175"/>
      <c r="I317" s="175"/>
      <c r="J317" s="176"/>
      <c r="K317" s="171"/>
      <c r="L317" s="177">
        <v>2</v>
      </c>
      <c r="M317" s="176"/>
      <c r="N317" s="177">
        <v>14.7</v>
      </c>
      <c r="O317" s="176"/>
      <c r="P317" s="178"/>
      <c r="Q317" s="178"/>
      <c r="R317" s="163">
        <f t="shared" si="3"/>
        <v>29.4</v>
      </c>
    </row>
    <row r="318" spans="3:18" s="221" customFormat="1" ht="20.25">
      <c r="C318" s="174"/>
      <c r="D318" s="176" t="s">
        <v>862</v>
      </c>
      <c r="E318" s="171"/>
      <c r="F318" s="175"/>
      <c r="G318" s="175"/>
      <c r="H318" s="175"/>
      <c r="I318" s="175"/>
      <c r="J318" s="176"/>
      <c r="K318" s="171"/>
      <c r="L318" s="177">
        <v>2</v>
      </c>
      <c r="M318" s="176"/>
      <c r="N318" s="177">
        <v>3.52</v>
      </c>
      <c r="O318" s="176"/>
      <c r="P318" s="178"/>
      <c r="Q318" s="178"/>
      <c r="R318" s="163">
        <f t="shared" si="3"/>
        <v>7.04</v>
      </c>
    </row>
    <row r="319" spans="3:18" s="221" customFormat="1" ht="20.25">
      <c r="C319" s="174"/>
      <c r="D319" s="176" t="s">
        <v>861</v>
      </c>
      <c r="E319" s="171"/>
      <c r="F319" s="175"/>
      <c r="G319" s="175"/>
      <c r="H319" s="175"/>
      <c r="I319" s="175"/>
      <c r="J319" s="176"/>
      <c r="K319" s="171"/>
      <c r="L319" s="177">
        <v>1</v>
      </c>
      <c r="M319" s="176"/>
      <c r="N319" s="177">
        <f>179.62+21.8</f>
        <v>201.42000000000002</v>
      </c>
      <c r="O319" s="176"/>
      <c r="P319" s="178"/>
      <c r="Q319" s="178"/>
      <c r="R319" s="163">
        <f t="shared" si="3"/>
        <v>201.42000000000002</v>
      </c>
    </row>
    <row r="320" spans="3:18" ht="20.25">
      <c r="C320" s="169"/>
      <c r="D320" s="164" t="s">
        <v>810</v>
      </c>
      <c r="E320" s="162"/>
      <c r="F320" s="172"/>
      <c r="G320" s="172"/>
      <c r="H320" s="172"/>
      <c r="I320" s="172"/>
      <c r="J320" s="164"/>
      <c r="K320" s="162"/>
      <c r="L320" s="163">
        <v>1</v>
      </c>
      <c r="M320" s="164"/>
      <c r="N320" s="163">
        <f>15.5+10</f>
        <v>25.5</v>
      </c>
      <c r="O320" s="164"/>
      <c r="P320" s="173"/>
      <c r="Q320" s="173"/>
      <c r="R320" s="163">
        <f t="shared" si="3"/>
        <v>25.5</v>
      </c>
    </row>
    <row r="321" spans="3:18" ht="20.25">
      <c r="C321" s="169"/>
      <c r="D321" s="164" t="s">
        <v>681</v>
      </c>
      <c r="E321" s="162"/>
      <c r="F321" s="172"/>
      <c r="G321" s="172"/>
      <c r="H321" s="172"/>
      <c r="I321" s="172"/>
      <c r="J321" s="164"/>
      <c r="K321" s="162"/>
      <c r="L321" s="163"/>
      <c r="M321" s="164"/>
      <c r="N321" s="163"/>
      <c r="O321" s="164"/>
      <c r="P321" s="173"/>
      <c r="Q321" s="173"/>
      <c r="R321" s="163">
        <v>89</v>
      </c>
    </row>
    <row r="322" spans="3:18" ht="20.25">
      <c r="C322" s="169"/>
      <c r="D322" s="158"/>
      <c r="E322" s="171"/>
      <c r="F322" s="172"/>
      <c r="G322" s="172"/>
      <c r="H322" s="172"/>
      <c r="I322" s="172"/>
      <c r="J322" s="164"/>
      <c r="K322" s="162"/>
      <c r="L322" s="163"/>
      <c r="M322" s="164"/>
      <c r="N322" s="165"/>
      <c r="O322" s="164"/>
      <c r="P322" s="173"/>
      <c r="Q322" s="173"/>
      <c r="R322" s="163"/>
    </row>
    <row r="323" spans="3:18" ht="20.25">
      <c r="C323" s="169"/>
      <c r="D323" s="158"/>
      <c r="E323" s="171"/>
      <c r="F323" s="172"/>
      <c r="G323" s="172"/>
      <c r="H323" s="172"/>
      <c r="I323" s="172"/>
      <c r="J323" s="164"/>
      <c r="K323" s="162"/>
      <c r="L323" s="163"/>
      <c r="M323" s="164"/>
      <c r="N323" s="165"/>
      <c r="O323" s="164"/>
      <c r="P323" s="173"/>
      <c r="Q323" s="173"/>
      <c r="R323" s="163"/>
    </row>
    <row r="324" spans="3:18" ht="43.5" customHeight="1">
      <c r="C324" s="174" t="s">
        <v>141</v>
      </c>
      <c r="D324" s="665" t="s">
        <v>863</v>
      </c>
      <c r="E324" s="665"/>
      <c r="F324" s="665"/>
      <c r="G324" s="665"/>
      <c r="H324" s="665"/>
      <c r="I324" s="665"/>
      <c r="J324" s="665"/>
      <c r="K324" s="665"/>
      <c r="L324" s="641" t="s">
        <v>623</v>
      </c>
      <c r="M324" s="641"/>
      <c r="N324" s="641"/>
      <c r="O324" s="226"/>
      <c r="P324" s="183">
        <f>SUM(R327:R333)</f>
        <v>745.37</v>
      </c>
      <c r="Q324" s="183"/>
      <c r="R324" s="184" t="s">
        <v>9</v>
      </c>
    </row>
    <row r="325" spans="3:18" ht="23.25" customHeight="1">
      <c r="C325" s="169"/>
      <c r="D325" s="155" t="s">
        <v>640</v>
      </c>
      <c r="E325" s="170"/>
      <c r="F325" s="170"/>
      <c r="G325" s="170"/>
      <c r="H325" s="170"/>
      <c r="I325" s="170"/>
      <c r="J325" s="161"/>
      <c r="K325" s="161"/>
      <c r="L325" s="186" t="s">
        <v>638</v>
      </c>
      <c r="M325" s="226"/>
      <c r="N325" s="186" t="s">
        <v>811</v>
      </c>
      <c r="O325" s="226"/>
      <c r="P325" s="186"/>
      <c r="Q325" s="153"/>
      <c r="R325" s="157" t="s">
        <v>626</v>
      </c>
    </row>
    <row r="326" spans="3:18" ht="20.25">
      <c r="C326" s="169"/>
      <c r="D326" s="645" t="s">
        <v>682</v>
      </c>
      <c r="E326" s="646"/>
      <c r="F326" s="646"/>
      <c r="G326" s="646"/>
      <c r="H326" s="646"/>
      <c r="I326" s="646"/>
      <c r="J326" s="646"/>
      <c r="K326" s="646"/>
      <c r="L326" s="646"/>
      <c r="M326" s="646"/>
      <c r="N326" s="646"/>
      <c r="O326" s="646"/>
      <c r="P326" s="646"/>
      <c r="Q326" s="646"/>
      <c r="R326" s="647"/>
    </row>
    <row r="327" spans="3:18" ht="20.25">
      <c r="C327" s="169"/>
      <c r="D327" s="164" t="s">
        <v>860</v>
      </c>
      <c r="E327" s="162"/>
      <c r="F327" s="172"/>
      <c r="G327" s="172"/>
      <c r="H327" s="172"/>
      <c r="I327" s="172"/>
      <c r="J327" s="164"/>
      <c r="K327" s="162"/>
      <c r="L327" s="163">
        <v>6</v>
      </c>
      <c r="M327" s="164"/>
      <c r="N327" s="163">
        <v>62</v>
      </c>
      <c r="O327" s="164"/>
      <c r="P327" s="173"/>
      <c r="Q327" s="173"/>
      <c r="R327" s="163">
        <f t="shared" ref="R327:R332" si="4">L327*N327</f>
        <v>372</v>
      </c>
    </row>
    <row r="328" spans="3:18" ht="20.25">
      <c r="C328" s="169"/>
      <c r="D328" s="164" t="s">
        <v>828</v>
      </c>
      <c r="E328" s="162"/>
      <c r="F328" s="172"/>
      <c r="G328" s="172"/>
      <c r="H328" s="172"/>
      <c r="I328" s="172"/>
      <c r="J328" s="164"/>
      <c r="K328" s="162"/>
      <c r="L328" s="163">
        <v>1</v>
      </c>
      <c r="M328" s="164"/>
      <c r="N328" s="163">
        <v>21.01</v>
      </c>
      <c r="O328" s="164"/>
      <c r="P328" s="173"/>
      <c r="Q328" s="173"/>
      <c r="R328" s="163">
        <f t="shared" si="4"/>
        <v>21.01</v>
      </c>
    </row>
    <row r="329" spans="3:18" s="221" customFormat="1" ht="20.25">
      <c r="C329" s="174"/>
      <c r="D329" s="176" t="s">
        <v>829</v>
      </c>
      <c r="E329" s="171"/>
      <c r="F329" s="175"/>
      <c r="G329" s="175"/>
      <c r="H329" s="175"/>
      <c r="I329" s="175"/>
      <c r="J329" s="176"/>
      <c r="K329" s="171"/>
      <c r="L329" s="177">
        <v>2</v>
      </c>
      <c r="M329" s="176"/>
      <c r="N329" s="177">
        <v>14.7</v>
      </c>
      <c r="O329" s="176"/>
      <c r="P329" s="178"/>
      <c r="Q329" s="178"/>
      <c r="R329" s="163">
        <f t="shared" si="4"/>
        <v>29.4</v>
      </c>
    </row>
    <row r="330" spans="3:18" s="221" customFormat="1" ht="20.25">
      <c r="C330" s="174"/>
      <c r="D330" s="176" t="s">
        <v>862</v>
      </c>
      <c r="E330" s="171"/>
      <c r="F330" s="175"/>
      <c r="G330" s="175"/>
      <c r="H330" s="175"/>
      <c r="I330" s="175"/>
      <c r="J330" s="176"/>
      <c r="K330" s="171"/>
      <c r="L330" s="177">
        <v>2</v>
      </c>
      <c r="M330" s="176"/>
      <c r="N330" s="177">
        <v>3.52</v>
      </c>
      <c r="O330" s="176"/>
      <c r="P330" s="178"/>
      <c r="Q330" s="178"/>
      <c r="R330" s="163">
        <f t="shared" si="4"/>
        <v>7.04</v>
      </c>
    </row>
    <row r="331" spans="3:18" s="221" customFormat="1" ht="20.25">
      <c r="C331" s="174"/>
      <c r="D331" s="176" t="s">
        <v>861</v>
      </c>
      <c r="E331" s="171"/>
      <c r="F331" s="175"/>
      <c r="G331" s="175"/>
      <c r="H331" s="175"/>
      <c r="I331" s="175"/>
      <c r="J331" s="176"/>
      <c r="K331" s="171"/>
      <c r="L331" s="177">
        <v>1</v>
      </c>
      <c r="M331" s="176"/>
      <c r="N331" s="177">
        <f>179.62+21.8</f>
        <v>201.42000000000002</v>
      </c>
      <c r="O331" s="176"/>
      <c r="P331" s="178"/>
      <c r="Q331" s="178"/>
      <c r="R331" s="163">
        <f t="shared" si="4"/>
        <v>201.42000000000002</v>
      </c>
    </row>
    <row r="332" spans="3:18" ht="20.25">
      <c r="C332" s="169"/>
      <c r="D332" s="164" t="s">
        <v>810</v>
      </c>
      <c r="E332" s="162"/>
      <c r="F332" s="172"/>
      <c r="G332" s="172"/>
      <c r="H332" s="172"/>
      <c r="I332" s="172"/>
      <c r="J332" s="164"/>
      <c r="K332" s="162"/>
      <c r="L332" s="163">
        <v>1</v>
      </c>
      <c r="M332" s="164"/>
      <c r="N332" s="163">
        <f>15.5+10</f>
        <v>25.5</v>
      </c>
      <c r="O332" s="164"/>
      <c r="P332" s="173"/>
      <c r="Q332" s="173"/>
      <c r="R332" s="163">
        <f t="shared" si="4"/>
        <v>25.5</v>
      </c>
    </row>
    <row r="333" spans="3:18" ht="20.25">
      <c r="C333" s="169"/>
      <c r="D333" s="164" t="s">
        <v>681</v>
      </c>
      <c r="E333" s="162"/>
      <c r="F333" s="172"/>
      <c r="G333" s="172"/>
      <c r="H333" s="172"/>
      <c r="I333" s="172"/>
      <c r="J333" s="164"/>
      <c r="K333" s="162"/>
      <c r="L333" s="163"/>
      <c r="M333" s="164"/>
      <c r="N333" s="163"/>
      <c r="O333" s="164"/>
      <c r="P333" s="173"/>
      <c r="Q333" s="173"/>
      <c r="R333" s="163">
        <v>89</v>
      </c>
    </row>
    <row r="334" spans="3:18" ht="20.25">
      <c r="C334" s="169"/>
      <c r="D334" s="158"/>
      <c r="E334" s="171"/>
      <c r="F334" s="172"/>
      <c r="G334" s="172"/>
      <c r="H334" s="172"/>
      <c r="I334" s="172"/>
      <c r="J334" s="164"/>
      <c r="K334" s="162"/>
      <c r="L334" s="163"/>
      <c r="M334" s="164"/>
      <c r="N334" s="165"/>
      <c r="O334" s="164"/>
      <c r="P334" s="173"/>
      <c r="Q334" s="173"/>
      <c r="R334" s="163"/>
    </row>
    <row r="335" spans="3:18" ht="20.25">
      <c r="C335" s="169" t="s">
        <v>151</v>
      </c>
      <c r="D335" s="661" t="s">
        <v>341</v>
      </c>
      <c r="E335" s="681"/>
      <c r="F335" s="681"/>
      <c r="G335" s="681"/>
      <c r="H335" s="681"/>
      <c r="I335" s="681"/>
      <c r="J335" s="681"/>
      <c r="K335" s="682"/>
      <c r="L335" s="641" t="s">
        <v>623</v>
      </c>
      <c r="M335" s="641"/>
      <c r="N335" s="641"/>
      <c r="O335" s="226"/>
      <c r="P335" s="183">
        <f>SUM(R337:R337)</f>
        <v>80</v>
      </c>
      <c r="Q335" s="183"/>
      <c r="R335" s="154" t="s">
        <v>9</v>
      </c>
    </row>
    <row r="336" spans="3:18" ht="20.25">
      <c r="C336" s="169"/>
      <c r="D336" s="155" t="s">
        <v>640</v>
      </c>
      <c r="E336" s="191"/>
      <c r="F336" s="191"/>
      <c r="G336" s="191"/>
      <c r="H336" s="191"/>
      <c r="I336" s="191"/>
      <c r="J336" s="191"/>
      <c r="K336" s="191"/>
      <c r="L336" s="186"/>
      <c r="M336" s="226"/>
      <c r="N336" s="186"/>
      <c r="O336" s="226"/>
      <c r="P336" s="186"/>
      <c r="Q336" s="153"/>
      <c r="R336" s="157" t="s">
        <v>626</v>
      </c>
    </row>
    <row r="337" spans="3:18" ht="20.25">
      <c r="C337" s="305"/>
      <c r="D337" s="164" t="s">
        <v>864</v>
      </c>
      <c r="E337" s="331"/>
      <c r="F337" s="334"/>
      <c r="G337" s="335"/>
      <c r="H337" s="334"/>
      <c r="I337" s="336"/>
      <c r="J337" s="336"/>
      <c r="K337" s="336"/>
      <c r="L337" s="163"/>
      <c r="M337" s="164"/>
      <c r="N337" s="163"/>
      <c r="O337" s="164"/>
      <c r="P337" s="173"/>
      <c r="Q337" s="173"/>
      <c r="R337" s="163">
        <v>80</v>
      </c>
    </row>
    <row r="338" spans="3:18" ht="20.25">
      <c r="C338" s="305"/>
      <c r="D338" s="164"/>
      <c r="E338" s="331"/>
      <c r="F338" s="334"/>
      <c r="G338" s="335"/>
      <c r="H338" s="334"/>
      <c r="I338" s="336"/>
      <c r="J338" s="336"/>
      <c r="K338" s="336"/>
      <c r="L338" s="163"/>
      <c r="M338" s="164"/>
      <c r="N338" s="163"/>
      <c r="O338" s="164"/>
      <c r="P338" s="173"/>
      <c r="Q338" s="173"/>
      <c r="R338" s="163"/>
    </row>
    <row r="339" spans="3:18" ht="45" customHeight="1">
      <c r="C339" s="169" t="s">
        <v>413</v>
      </c>
      <c r="D339" s="678" t="s">
        <v>449</v>
      </c>
      <c r="E339" s="679"/>
      <c r="F339" s="679"/>
      <c r="G339" s="679"/>
      <c r="H339" s="679"/>
      <c r="I339" s="679"/>
      <c r="J339" s="679"/>
      <c r="K339" s="680"/>
      <c r="L339" s="641" t="s">
        <v>623</v>
      </c>
      <c r="M339" s="641"/>
      <c r="N339" s="641"/>
      <c r="O339" s="226"/>
      <c r="P339" s="183">
        <f>SUM(R342:R345)</f>
        <v>683.43000000000006</v>
      </c>
      <c r="Q339" s="183"/>
      <c r="R339" s="154" t="s">
        <v>9</v>
      </c>
    </row>
    <row r="340" spans="3:18" ht="20.25">
      <c r="C340" s="169"/>
      <c r="D340" s="645" t="s">
        <v>682</v>
      </c>
      <c r="E340" s="646"/>
      <c r="F340" s="646"/>
      <c r="G340" s="646"/>
      <c r="H340" s="646"/>
      <c r="I340" s="646"/>
      <c r="J340" s="646"/>
      <c r="K340" s="646"/>
      <c r="L340" s="646"/>
      <c r="M340" s="646"/>
      <c r="N340" s="646"/>
      <c r="O340" s="646"/>
      <c r="P340" s="646"/>
      <c r="Q340" s="646"/>
      <c r="R340" s="647"/>
    </row>
    <row r="341" spans="3:18" ht="20.25">
      <c r="C341" s="169"/>
      <c r="D341" s="155" t="s">
        <v>640</v>
      </c>
      <c r="E341" s="191"/>
      <c r="F341" s="191"/>
      <c r="G341" s="191"/>
      <c r="H341" s="191"/>
      <c r="I341" s="191"/>
      <c r="J341" s="191"/>
      <c r="K341" s="191"/>
      <c r="L341" s="156"/>
      <c r="M341" s="152"/>
      <c r="N341" s="157"/>
      <c r="O341" s="152"/>
      <c r="P341" s="156"/>
      <c r="Q341" s="153"/>
      <c r="R341" s="157" t="s">
        <v>626</v>
      </c>
    </row>
    <row r="342" spans="3:18" ht="20.25">
      <c r="C342" s="169"/>
      <c r="D342" s="164" t="s">
        <v>860</v>
      </c>
      <c r="E342" s="162"/>
      <c r="F342" s="172"/>
      <c r="G342" s="172"/>
      <c r="H342" s="172"/>
      <c r="I342" s="172"/>
      <c r="J342" s="164"/>
      <c r="K342" s="162"/>
      <c r="L342" s="163">
        <v>6</v>
      </c>
      <c r="M342" s="164"/>
      <c r="N342" s="163">
        <v>62</v>
      </c>
      <c r="O342" s="164"/>
      <c r="P342" s="173"/>
      <c r="Q342" s="173"/>
      <c r="R342" s="163">
        <f>L342*N342</f>
        <v>372</v>
      </c>
    </row>
    <row r="343" spans="3:18" ht="20.25">
      <c r="C343" s="169"/>
      <c r="D343" s="164" t="s">
        <v>828</v>
      </c>
      <c r="E343" s="162"/>
      <c r="F343" s="172"/>
      <c r="G343" s="172"/>
      <c r="H343" s="172"/>
      <c r="I343" s="172"/>
      <c r="J343" s="164"/>
      <c r="K343" s="162"/>
      <c r="L343" s="163">
        <v>1</v>
      </c>
      <c r="M343" s="164"/>
      <c r="N343" s="163">
        <v>21.01</v>
      </c>
      <c r="O343" s="164"/>
      <c r="P343" s="173"/>
      <c r="Q343" s="173"/>
      <c r="R343" s="163">
        <f>L343*N343</f>
        <v>21.01</v>
      </c>
    </row>
    <row r="344" spans="3:18" s="221" customFormat="1" ht="20.25">
      <c r="C344" s="174"/>
      <c r="D344" s="176" t="s">
        <v>861</v>
      </c>
      <c r="E344" s="171"/>
      <c r="F344" s="175"/>
      <c r="G344" s="175"/>
      <c r="H344" s="175"/>
      <c r="I344" s="175"/>
      <c r="J344" s="176"/>
      <c r="K344" s="171"/>
      <c r="L344" s="177">
        <v>1</v>
      </c>
      <c r="M344" s="176"/>
      <c r="N344" s="177">
        <f>179.62+21.8</f>
        <v>201.42000000000002</v>
      </c>
      <c r="O344" s="176"/>
      <c r="P344" s="178"/>
      <c r="Q344" s="178"/>
      <c r="R344" s="163">
        <f>L344*N344</f>
        <v>201.42000000000002</v>
      </c>
    </row>
    <row r="345" spans="3:18" ht="20.25">
      <c r="C345" s="169"/>
      <c r="D345" s="164" t="s">
        <v>681</v>
      </c>
      <c r="E345" s="162"/>
      <c r="F345" s="172"/>
      <c r="G345" s="172"/>
      <c r="H345" s="172"/>
      <c r="I345" s="172"/>
      <c r="J345" s="164"/>
      <c r="K345" s="162"/>
      <c r="L345" s="163"/>
      <c r="M345" s="164"/>
      <c r="N345" s="163"/>
      <c r="O345" s="164"/>
      <c r="P345" s="173"/>
      <c r="Q345" s="173"/>
      <c r="R345" s="163">
        <v>89</v>
      </c>
    </row>
    <row r="346" spans="3:18" ht="20.25">
      <c r="C346" s="169"/>
      <c r="D346" s="164"/>
      <c r="E346" s="162"/>
      <c r="F346" s="172"/>
      <c r="G346" s="172"/>
      <c r="H346" s="172"/>
      <c r="I346" s="172"/>
      <c r="J346" s="164"/>
      <c r="K346" s="162"/>
      <c r="L346" s="163"/>
      <c r="M346" s="164"/>
      <c r="N346" s="163"/>
      <c r="O346" s="164"/>
      <c r="P346" s="173"/>
      <c r="Q346" s="173"/>
      <c r="R346" s="163"/>
    </row>
    <row r="347" spans="3:18" ht="45" customHeight="1">
      <c r="C347" s="169" t="s">
        <v>414</v>
      </c>
      <c r="D347" s="678" t="s">
        <v>508</v>
      </c>
      <c r="E347" s="679"/>
      <c r="F347" s="679"/>
      <c r="G347" s="679"/>
      <c r="H347" s="679"/>
      <c r="I347" s="679"/>
      <c r="J347" s="679"/>
      <c r="K347" s="680"/>
      <c r="L347" s="641" t="s">
        <v>623</v>
      </c>
      <c r="M347" s="641"/>
      <c r="N347" s="641"/>
      <c r="O347" s="226"/>
      <c r="P347" s="183">
        <f>SUM(R350:R356)</f>
        <v>409</v>
      </c>
      <c r="Q347" s="183"/>
      <c r="R347" s="154" t="s">
        <v>9</v>
      </c>
    </row>
    <row r="348" spans="3:18" ht="20.25">
      <c r="C348" s="169"/>
      <c r="D348" s="645" t="s">
        <v>682</v>
      </c>
      <c r="E348" s="646"/>
      <c r="F348" s="646"/>
      <c r="G348" s="646"/>
      <c r="H348" s="646"/>
      <c r="I348" s="646"/>
      <c r="J348" s="646"/>
      <c r="K348" s="646"/>
      <c r="L348" s="646"/>
      <c r="M348" s="646"/>
      <c r="N348" s="646"/>
      <c r="O348" s="646"/>
      <c r="P348" s="646"/>
      <c r="Q348" s="646"/>
      <c r="R348" s="647"/>
    </row>
    <row r="349" spans="3:18" ht="20.25">
      <c r="C349" s="169"/>
      <c r="D349" s="155" t="s">
        <v>640</v>
      </c>
      <c r="E349" s="191"/>
      <c r="F349" s="191"/>
      <c r="G349" s="191"/>
      <c r="H349" s="191"/>
      <c r="I349" s="191"/>
      <c r="J349" s="191"/>
      <c r="K349" s="191"/>
      <c r="L349" s="156" t="s">
        <v>638</v>
      </c>
      <c r="M349" s="152"/>
      <c r="N349" s="157"/>
      <c r="O349" s="152"/>
      <c r="P349" s="157"/>
      <c r="Q349" s="153"/>
      <c r="R349" s="157" t="s">
        <v>817</v>
      </c>
    </row>
    <row r="350" spans="3:18" ht="20.25">
      <c r="C350" s="169"/>
      <c r="D350" s="164" t="s">
        <v>860</v>
      </c>
      <c r="E350" s="162"/>
      <c r="F350" s="172"/>
      <c r="G350" s="172"/>
      <c r="H350" s="172"/>
      <c r="I350" s="172"/>
      <c r="J350" s="164"/>
      <c r="K350" s="162"/>
      <c r="L350" s="163">
        <v>6</v>
      </c>
      <c r="M350" s="164"/>
      <c r="N350" s="163">
        <v>31.5</v>
      </c>
      <c r="O350" s="164"/>
      <c r="P350" s="163"/>
      <c r="Q350" s="173"/>
      <c r="R350" s="163">
        <f>L350*N350</f>
        <v>189</v>
      </c>
    </row>
    <row r="351" spans="3:18" ht="20.25">
      <c r="C351" s="169"/>
      <c r="D351" s="164" t="s">
        <v>828</v>
      </c>
      <c r="E351" s="162"/>
      <c r="F351" s="172"/>
      <c r="G351" s="172"/>
      <c r="H351" s="172"/>
      <c r="I351" s="172"/>
      <c r="J351" s="164"/>
      <c r="K351" s="162"/>
      <c r="L351" s="163">
        <v>1</v>
      </c>
      <c r="M351" s="164"/>
      <c r="N351" s="163">
        <v>18.350000000000001</v>
      </c>
      <c r="O351" s="164"/>
      <c r="P351" s="163"/>
      <c r="Q351" s="173"/>
      <c r="R351" s="163">
        <f>L351*N351</f>
        <v>18.350000000000001</v>
      </c>
    </row>
    <row r="352" spans="3:18" s="221" customFormat="1" ht="20.25">
      <c r="C352" s="174"/>
      <c r="D352" s="176" t="s">
        <v>861</v>
      </c>
      <c r="E352" s="171"/>
      <c r="F352" s="175"/>
      <c r="G352" s="175"/>
      <c r="H352" s="175"/>
      <c r="I352" s="175"/>
      <c r="J352" s="176"/>
      <c r="K352" s="171"/>
      <c r="L352" s="177">
        <v>1</v>
      </c>
      <c r="M352" s="176"/>
      <c r="N352" s="177">
        <v>84</v>
      </c>
      <c r="O352" s="176"/>
      <c r="P352" s="177"/>
      <c r="Q352" s="178"/>
      <c r="R352" s="163">
        <f>L352*N352</f>
        <v>84</v>
      </c>
    </row>
    <row r="353" spans="3:18" ht="20.25">
      <c r="C353" s="169"/>
      <c r="D353" s="164" t="s">
        <v>681</v>
      </c>
      <c r="E353" s="162"/>
      <c r="F353" s="172"/>
      <c r="G353" s="172"/>
      <c r="H353" s="172"/>
      <c r="I353" s="172"/>
      <c r="J353" s="164"/>
      <c r="K353" s="162"/>
      <c r="L353" s="163">
        <v>1</v>
      </c>
      <c r="M353" s="164"/>
      <c r="N353" s="163">
        <v>53.55</v>
      </c>
      <c r="O353" s="164"/>
      <c r="P353" s="163"/>
      <c r="Q353" s="173"/>
      <c r="R353" s="163">
        <f>L353*N353</f>
        <v>53.55</v>
      </c>
    </row>
    <row r="354" spans="3:18" ht="20.25">
      <c r="C354" s="169"/>
      <c r="D354" s="164"/>
      <c r="E354" s="162"/>
      <c r="F354" s="172"/>
      <c r="G354" s="172"/>
      <c r="H354" s="172"/>
      <c r="I354" s="172"/>
      <c r="J354" s="164"/>
      <c r="K354" s="162"/>
      <c r="L354" s="163"/>
      <c r="M354" s="164"/>
      <c r="N354" s="163"/>
      <c r="O354" s="164"/>
      <c r="P354" s="173"/>
      <c r="Q354" s="173"/>
      <c r="R354" s="163"/>
    </row>
    <row r="355" spans="3:18" ht="20.25">
      <c r="C355" s="169"/>
      <c r="D355" s="658" t="s">
        <v>650</v>
      </c>
      <c r="E355" s="659"/>
      <c r="F355" s="659"/>
      <c r="G355" s="659"/>
      <c r="H355" s="659"/>
      <c r="I355" s="659"/>
      <c r="J355" s="659"/>
      <c r="K355" s="659"/>
      <c r="L355" s="659"/>
      <c r="M355" s="659"/>
      <c r="N355" s="660"/>
      <c r="O355" s="164"/>
      <c r="P355" s="173"/>
      <c r="Q355" s="173"/>
      <c r="R355" s="163"/>
    </row>
    <row r="356" spans="3:18" ht="20.25">
      <c r="C356" s="305"/>
      <c r="D356" s="164" t="s">
        <v>681</v>
      </c>
      <c r="E356" s="331"/>
      <c r="F356" s="334"/>
      <c r="G356" s="335"/>
      <c r="H356" s="334"/>
      <c r="I356" s="336"/>
      <c r="J356" s="336"/>
      <c r="K356" s="336"/>
      <c r="L356" s="163"/>
      <c r="M356" s="164"/>
      <c r="N356" s="163"/>
      <c r="O356" s="164"/>
      <c r="P356" s="173"/>
      <c r="Q356" s="173"/>
      <c r="R356" s="163">
        <v>64.099999999999994</v>
      </c>
    </row>
    <row r="357" spans="3:18" ht="20.25">
      <c r="C357" s="305"/>
      <c r="D357" s="164"/>
      <c r="E357" s="331"/>
      <c r="F357" s="334"/>
      <c r="G357" s="335"/>
      <c r="H357" s="334"/>
      <c r="I357" s="336"/>
      <c r="J357" s="336"/>
      <c r="K357" s="336"/>
      <c r="L357" s="163"/>
      <c r="M357" s="164"/>
      <c r="N357" s="163"/>
      <c r="O357" s="164"/>
      <c r="P357" s="173"/>
      <c r="Q357" s="173"/>
      <c r="R357" s="163"/>
    </row>
    <row r="358" spans="3:18" ht="20.25">
      <c r="C358" s="169" t="s">
        <v>152</v>
      </c>
      <c r="D358" s="284" t="s">
        <v>456</v>
      </c>
      <c r="E358" s="169"/>
      <c r="F358" s="169"/>
      <c r="G358" s="169"/>
      <c r="H358" s="169"/>
      <c r="I358" s="169"/>
      <c r="J358" s="169"/>
      <c r="K358" s="169"/>
      <c r="L358" s="641" t="s">
        <v>623</v>
      </c>
      <c r="M358" s="641"/>
      <c r="N358" s="641"/>
      <c r="O358" s="226"/>
      <c r="P358" s="183">
        <f>SUM(R361:R361)</f>
        <v>9.9</v>
      </c>
      <c r="Q358" s="183"/>
      <c r="R358" s="184" t="s">
        <v>9</v>
      </c>
    </row>
    <row r="359" spans="3:18" ht="20.25">
      <c r="C359" s="169"/>
      <c r="D359" s="645" t="s">
        <v>682</v>
      </c>
      <c r="E359" s="646"/>
      <c r="F359" s="646"/>
      <c r="G359" s="646"/>
      <c r="H359" s="646"/>
      <c r="I359" s="646"/>
      <c r="J359" s="646"/>
      <c r="K359" s="646"/>
      <c r="L359" s="646"/>
      <c r="M359" s="646"/>
      <c r="N359" s="646"/>
      <c r="O359" s="646"/>
      <c r="P359" s="646"/>
      <c r="Q359" s="646"/>
      <c r="R359" s="647"/>
    </row>
    <row r="360" spans="3:18" ht="20.25">
      <c r="C360" s="304"/>
      <c r="D360" s="164" t="s">
        <v>640</v>
      </c>
      <c r="E360" s="189"/>
      <c r="F360" s="189"/>
      <c r="G360" s="189"/>
      <c r="H360" s="189"/>
      <c r="I360" s="189"/>
      <c r="J360" s="189"/>
      <c r="K360" s="189"/>
      <c r="L360" s="156" t="s">
        <v>638</v>
      </c>
      <c r="M360" s="226"/>
      <c r="N360" s="186"/>
      <c r="O360" s="226"/>
      <c r="P360" s="186" t="s">
        <v>868</v>
      </c>
      <c r="Q360" s="153"/>
      <c r="R360" s="157" t="s">
        <v>868</v>
      </c>
    </row>
    <row r="361" spans="3:18" ht="20.25">
      <c r="C361" s="304"/>
      <c r="D361" s="164" t="s">
        <v>867</v>
      </c>
      <c r="E361" s="189"/>
      <c r="F361" s="189"/>
      <c r="G361" s="189"/>
      <c r="H361" s="189"/>
      <c r="I361" s="189"/>
      <c r="J361" s="189"/>
      <c r="K361" s="189"/>
      <c r="L361" s="163">
        <v>11</v>
      </c>
      <c r="M361" s="164"/>
      <c r="N361" s="163"/>
      <c r="O361" s="164"/>
      <c r="P361" s="173">
        <v>0.9</v>
      </c>
      <c r="Q361" s="173"/>
      <c r="R361" s="163">
        <f>L361*P361</f>
        <v>9.9</v>
      </c>
    </row>
    <row r="362" spans="3:18" ht="20.25">
      <c r="C362" s="304"/>
      <c r="D362" s="164"/>
      <c r="E362" s="189"/>
      <c r="F362" s="189"/>
      <c r="G362" s="189"/>
      <c r="H362" s="189"/>
      <c r="I362" s="189"/>
      <c r="J362" s="189"/>
      <c r="K362" s="189"/>
      <c r="L362" s="163"/>
      <c r="M362" s="164"/>
      <c r="N362" s="163"/>
      <c r="O362" s="164"/>
      <c r="P362" s="173"/>
      <c r="Q362" s="173"/>
      <c r="R362" s="163"/>
    </row>
    <row r="363" spans="3:18" ht="42" customHeight="1">
      <c r="C363" s="174" t="s">
        <v>153</v>
      </c>
      <c r="D363" s="638" t="s">
        <v>225</v>
      </c>
      <c r="E363" s="639"/>
      <c r="F363" s="639"/>
      <c r="G363" s="639"/>
      <c r="H363" s="639"/>
      <c r="I363" s="639"/>
      <c r="J363" s="639"/>
      <c r="K363" s="640"/>
      <c r="L363" s="641" t="s">
        <v>623</v>
      </c>
      <c r="M363" s="641"/>
      <c r="N363" s="641"/>
      <c r="O363" s="226"/>
      <c r="P363" s="183">
        <f>SUM(R366:R368)</f>
        <v>36.44</v>
      </c>
      <c r="Q363" s="183"/>
      <c r="R363" s="184" t="s">
        <v>9</v>
      </c>
    </row>
    <row r="364" spans="3:18" ht="20.25">
      <c r="C364" s="174"/>
      <c r="D364" s="654" t="s">
        <v>682</v>
      </c>
      <c r="E364" s="655"/>
      <c r="F364" s="655"/>
      <c r="G364" s="655"/>
      <c r="H364" s="655"/>
      <c r="I364" s="655"/>
      <c r="J364" s="655"/>
      <c r="K364" s="655"/>
      <c r="L364" s="655"/>
      <c r="M364" s="655"/>
      <c r="N364" s="655"/>
      <c r="O364" s="655"/>
      <c r="P364" s="655"/>
      <c r="Q364" s="655"/>
      <c r="R364" s="656"/>
    </row>
    <row r="365" spans="3:18" ht="20.25">
      <c r="C365" s="174"/>
      <c r="D365" s="158" t="s">
        <v>640</v>
      </c>
      <c r="E365" s="227"/>
      <c r="F365" s="175"/>
      <c r="G365" s="175"/>
      <c r="H365" s="175"/>
      <c r="I365" s="175"/>
      <c r="J365" s="226"/>
      <c r="K365" s="184"/>
      <c r="L365" s="156" t="s">
        <v>638</v>
      </c>
      <c r="M365" s="226"/>
      <c r="N365" s="156"/>
      <c r="O365" s="226"/>
      <c r="P365" s="186"/>
      <c r="Q365" s="183"/>
      <c r="R365" s="188" t="s">
        <v>626</v>
      </c>
    </row>
    <row r="366" spans="3:18" ht="20.25">
      <c r="C366" s="174"/>
      <c r="D366" s="176" t="s">
        <v>832</v>
      </c>
      <c r="E366" s="171"/>
      <c r="F366" s="175"/>
      <c r="G366" s="175"/>
      <c r="H366" s="175"/>
      <c r="I366" s="175"/>
      <c r="J366" s="226"/>
      <c r="K366" s="184"/>
      <c r="L366" s="177">
        <v>2</v>
      </c>
      <c r="M366" s="176"/>
      <c r="N366" s="177"/>
      <c r="O366" s="176"/>
      <c r="P366" s="178">
        <v>14.7</v>
      </c>
      <c r="Q366" s="178"/>
      <c r="R366" s="177">
        <f>L366*P366</f>
        <v>29.4</v>
      </c>
    </row>
    <row r="367" spans="3:18" ht="20.25">
      <c r="C367" s="174"/>
      <c r="D367" s="176" t="s">
        <v>833</v>
      </c>
      <c r="E367" s="171"/>
      <c r="F367" s="175"/>
      <c r="G367" s="175"/>
      <c r="H367" s="175"/>
      <c r="I367" s="175"/>
      <c r="J367" s="176"/>
      <c r="K367" s="171"/>
      <c r="L367" s="177">
        <v>2</v>
      </c>
      <c r="M367" s="176"/>
      <c r="N367" s="177"/>
      <c r="O367" s="176"/>
      <c r="P367" s="178">
        <v>3.52</v>
      </c>
      <c r="Q367" s="178"/>
      <c r="R367" s="177">
        <f>L367*P367</f>
        <v>7.04</v>
      </c>
    </row>
    <row r="368" spans="3:18" ht="20.25">
      <c r="C368" s="174"/>
      <c r="D368" s="176"/>
      <c r="E368" s="171"/>
      <c r="F368" s="175"/>
      <c r="G368" s="175"/>
      <c r="H368" s="175"/>
      <c r="I368" s="175"/>
      <c r="J368" s="176"/>
      <c r="K368" s="171"/>
      <c r="L368" s="177"/>
      <c r="M368" s="176"/>
      <c r="N368" s="177"/>
      <c r="O368" s="176"/>
      <c r="P368" s="178"/>
      <c r="Q368" s="178"/>
      <c r="R368" s="177"/>
    </row>
    <row r="369" spans="3:18" ht="42" customHeight="1">
      <c r="C369" s="174" t="s">
        <v>154</v>
      </c>
      <c r="D369" s="638" t="s">
        <v>1081</v>
      </c>
      <c r="E369" s="639"/>
      <c r="F369" s="639"/>
      <c r="G369" s="639"/>
      <c r="H369" s="639"/>
      <c r="I369" s="639"/>
      <c r="J369" s="639"/>
      <c r="K369" s="640"/>
      <c r="L369" s="641" t="s">
        <v>623</v>
      </c>
      <c r="M369" s="641"/>
      <c r="N369" s="641"/>
      <c r="O369" s="226"/>
      <c r="P369" s="183">
        <f>SUM(R372:R374)</f>
        <v>26.85</v>
      </c>
      <c r="Q369" s="183"/>
      <c r="R369" s="184" t="s">
        <v>9</v>
      </c>
    </row>
    <row r="370" spans="3:18" ht="20.25">
      <c r="C370" s="174"/>
      <c r="D370" s="654" t="s">
        <v>682</v>
      </c>
      <c r="E370" s="655"/>
      <c r="F370" s="655"/>
      <c r="G370" s="655"/>
      <c r="H370" s="655"/>
      <c r="I370" s="655"/>
      <c r="J370" s="655"/>
      <c r="K370" s="655"/>
      <c r="L370" s="655"/>
      <c r="M370" s="655"/>
      <c r="N370" s="655"/>
      <c r="O370" s="655"/>
      <c r="P370" s="655"/>
      <c r="Q370" s="655"/>
      <c r="R370" s="656"/>
    </row>
    <row r="371" spans="3:18" ht="20.25">
      <c r="C371" s="174"/>
      <c r="D371" s="158" t="s">
        <v>640</v>
      </c>
      <c r="E371" s="227"/>
      <c r="F371" s="175"/>
      <c r="G371" s="175"/>
      <c r="H371" s="175"/>
      <c r="I371" s="175"/>
      <c r="J371" s="226"/>
      <c r="K371" s="184"/>
      <c r="L371" s="156"/>
      <c r="M371" s="226"/>
      <c r="N371" s="156" t="s">
        <v>1082</v>
      </c>
      <c r="O371" s="226"/>
      <c r="P371" s="156" t="s">
        <v>637</v>
      </c>
      <c r="Q371" s="183"/>
      <c r="R371" s="188" t="s">
        <v>626</v>
      </c>
    </row>
    <row r="372" spans="3:18" ht="20.25">
      <c r="C372" s="169"/>
      <c r="D372" s="164" t="s">
        <v>1076</v>
      </c>
      <c r="E372" s="162"/>
      <c r="F372" s="172"/>
      <c r="G372" s="172"/>
      <c r="H372" s="172"/>
      <c r="I372" s="172"/>
      <c r="J372" s="164"/>
      <c r="K372" s="162"/>
      <c r="L372" s="163"/>
      <c r="M372" s="164"/>
      <c r="N372" s="163"/>
      <c r="O372" s="164"/>
      <c r="P372" s="163"/>
      <c r="Q372" s="173"/>
      <c r="R372" s="163">
        <v>25.5</v>
      </c>
    </row>
    <row r="373" spans="3:18" s="221" customFormat="1" ht="20.25">
      <c r="C373" s="174"/>
      <c r="D373" s="176" t="s">
        <v>1077</v>
      </c>
      <c r="E373" s="171"/>
      <c r="F373" s="175"/>
      <c r="G373" s="175"/>
      <c r="H373" s="175"/>
      <c r="I373" s="175"/>
      <c r="J373" s="176"/>
      <c r="K373" s="171"/>
      <c r="L373" s="177"/>
      <c r="M373" s="176"/>
      <c r="N373" s="177">
        <v>27</v>
      </c>
      <c r="O373" s="176"/>
      <c r="P373" s="178">
        <v>0.05</v>
      </c>
      <c r="Q373" s="178"/>
      <c r="R373" s="177">
        <f>N373*P373</f>
        <v>1.35</v>
      </c>
    </row>
    <row r="374" spans="3:18" ht="20.25">
      <c r="C374" s="174"/>
      <c r="D374" s="176"/>
      <c r="E374" s="171"/>
      <c r="F374" s="175"/>
      <c r="G374" s="175"/>
      <c r="H374" s="175"/>
      <c r="I374" s="175"/>
      <c r="J374" s="176"/>
      <c r="K374" s="171"/>
      <c r="L374" s="177"/>
      <c r="M374" s="176"/>
      <c r="N374" s="177"/>
      <c r="O374" s="176"/>
      <c r="P374" s="178"/>
      <c r="Q374" s="178"/>
      <c r="R374" s="177"/>
    </row>
    <row r="375" spans="3:18" ht="20.25">
      <c r="C375" s="168" t="s">
        <v>195</v>
      </c>
      <c r="D375" s="657" t="s">
        <v>5</v>
      </c>
      <c r="E375" s="657"/>
      <c r="F375" s="657"/>
      <c r="G375" s="657"/>
      <c r="H375" s="657"/>
      <c r="I375" s="657"/>
      <c r="J375" s="657"/>
      <c r="K375" s="657"/>
      <c r="L375" s="657"/>
      <c r="M375" s="657"/>
      <c r="N375" s="657"/>
      <c r="O375" s="657"/>
      <c r="P375" s="657"/>
      <c r="Q375" s="657"/>
      <c r="R375" s="657"/>
    </row>
    <row r="376" spans="3:18" ht="20.25">
      <c r="C376" s="154" t="s">
        <v>201</v>
      </c>
      <c r="D376" s="645" t="s">
        <v>232</v>
      </c>
      <c r="E376" s="646"/>
      <c r="F376" s="646"/>
      <c r="G376" s="646"/>
      <c r="H376" s="646"/>
      <c r="I376" s="646"/>
      <c r="J376" s="646"/>
      <c r="K376" s="647"/>
      <c r="L376" s="641" t="s">
        <v>623</v>
      </c>
      <c r="M376" s="641"/>
      <c r="N376" s="641"/>
      <c r="O376" s="226"/>
      <c r="P376" s="183">
        <f>SUM(R379:R385)</f>
        <v>817.37</v>
      </c>
      <c r="Q376" s="183"/>
      <c r="R376" s="184" t="s">
        <v>9</v>
      </c>
    </row>
    <row r="377" spans="3:18" ht="20.25">
      <c r="C377" s="169"/>
      <c r="D377" s="155" t="s">
        <v>640</v>
      </c>
      <c r="E377" s="170"/>
      <c r="F377" s="170"/>
      <c r="G377" s="170"/>
      <c r="H377" s="170"/>
      <c r="I377" s="170"/>
      <c r="J377" s="161"/>
      <c r="K377" s="161"/>
      <c r="L377" s="156" t="s">
        <v>638</v>
      </c>
      <c r="M377" s="152"/>
      <c r="N377" s="156" t="s">
        <v>811</v>
      </c>
      <c r="O377" s="152"/>
      <c r="P377" s="156"/>
      <c r="Q377" s="153"/>
      <c r="R377" s="157" t="s">
        <v>626</v>
      </c>
    </row>
    <row r="378" spans="3:18" ht="20.25">
      <c r="C378" s="169"/>
      <c r="D378" s="645" t="s">
        <v>682</v>
      </c>
      <c r="E378" s="646"/>
      <c r="F378" s="646"/>
      <c r="G378" s="646"/>
      <c r="H378" s="646"/>
      <c r="I378" s="646"/>
      <c r="J378" s="646"/>
      <c r="K378" s="646"/>
      <c r="L378" s="646"/>
      <c r="M378" s="646"/>
      <c r="N378" s="646"/>
      <c r="O378" s="646"/>
      <c r="P378" s="646"/>
      <c r="Q378" s="646"/>
      <c r="R378" s="647"/>
    </row>
    <row r="379" spans="3:18" ht="20.25">
      <c r="C379" s="169"/>
      <c r="D379" s="164" t="s">
        <v>860</v>
      </c>
      <c r="E379" s="162"/>
      <c r="F379" s="172"/>
      <c r="G379" s="172"/>
      <c r="H379" s="172"/>
      <c r="I379" s="172"/>
      <c r="J379" s="164"/>
      <c r="K379" s="162"/>
      <c r="L379" s="163">
        <v>6</v>
      </c>
      <c r="M379" s="164"/>
      <c r="N379" s="163">
        <v>62</v>
      </c>
      <c r="O379" s="164"/>
      <c r="P379" s="173"/>
      <c r="Q379" s="173"/>
      <c r="R379" s="163">
        <f t="shared" ref="R379:R384" si="5">L379*N379</f>
        <v>372</v>
      </c>
    </row>
    <row r="380" spans="3:18" ht="20.25">
      <c r="C380" s="169"/>
      <c r="D380" s="164" t="s">
        <v>828</v>
      </c>
      <c r="E380" s="162"/>
      <c r="F380" s="172"/>
      <c r="G380" s="172"/>
      <c r="H380" s="172"/>
      <c r="I380" s="172"/>
      <c r="J380" s="164"/>
      <c r="K380" s="162"/>
      <c r="L380" s="163">
        <v>1</v>
      </c>
      <c r="M380" s="164"/>
      <c r="N380" s="163">
        <v>21.01</v>
      </c>
      <c r="O380" s="164"/>
      <c r="P380" s="173"/>
      <c r="Q380" s="173"/>
      <c r="R380" s="163">
        <f t="shared" si="5"/>
        <v>21.01</v>
      </c>
    </row>
    <row r="381" spans="3:18" s="221" customFormat="1" ht="20.25">
      <c r="C381" s="174"/>
      <c r="D381" s="176" t="s">
        <v>829</v>
      </c>
      <c r="E381" s="171"/>
      <c r="F381" s="175"/>
      <c r="G381" s="175"/>
      <c r="H381" s="175"/>
      <c r="I381" s="175"/>
      <c r="J381" s="176"/>
      <c r="K381" s="171"/>
      <c r="L381" s="177">
        <v>2</v>
      </c>
      <c r="M381" s="176"/>
      <c r="N381" s="177">
        <v>14.7</v>
      </c>
      <c r="O381" s="176"/>
      <c r="P381" s="178"/>
      <c r="Q381" s="178"/>
      <c r="R381" s="163">
        <f t="shared" si="5"/>
        <v>29.4</v>
      </c>
    </row>
    <row r="382" spans="3:18" s="221" customFormat="1" ht="20.25">
      <c r="C382" s="174"/>
      <c r="D382" s="176" t="s">
        <v>862</v>
      </c>
      <c r="E382" s="171"/>
      <c r="F382" s="175"/>
      <c r="G382" s="175"/>
      <c r="H382" s="175"/>
      <c r="I382" s="175"/>
      <c r="J382" s="176"/>
      <c r="K382" s="171"/>
      <c r="L382" s="177">
        <v>2</v>
      </c>
      <c r="M382" s="176"/>
      <c r="N382" s="177">
        <v>3.52</v>
      </c>
      <c r="O382" s="176"/>
      <c r="P382" s="178"/>
      <c r="Q382" s="178"/>
      <c r="R382" s="163">
        <f t="shared" si="5"/>
        <v>7.04</v>
      </c>
    </row>
    <row r="383" spans="3:18" s="221" customFormat="1" ht="20.25">
      <c r="C383" s="174"/>
      <c r="D383" s="176" t="s">
        <v>861</v>
      </c>
      <c r="E383" s="171"/>
      <c r="F383" s="175"/>
      <c r="G383" s="175"/>
      <c r="H383" s="175"/>
      <c r="I383" s="175"/>
      <c r="J383" s="176"/>
      <c r="K383" s="171"/>
      <c r="L383" s="177">
        <v>1</v>
      </c>
      <c r="M383" s="176"/>
      <c r="N383" s="177">
        <f>179.62+21.8</f>
        <v>201.42000000000002</v>
      </c>
      <c r="O383" s="176"/>
      <c r="P383" s="178"/>
      <c r="Q383" s="178"/>
      <c r="R383" s="163">
        <f t="shared" si="5"/>
        <v>201.42000000000002</v>
      </c>
    </row>
    <row r="384" spans="3:18" ht="20.25">
      <c r="C384" s="169"/>
      <c r="D384" s="164" t="s">
        <v>810</v>
      </c>
      <c r="E384" s="162"/>
      <c r="F384" s="172"/>
      <c r="G384" s="172"/>
      <c r="H384" s="172"/>
      <c r="I384" s="172"/>
      <c r="J384" s="164"/>
      <c r="K384" s="162"/>
      <c r="L384" s="163">
        <v>1</v>
      </c>
      <c r="M384" s="164"/>
      <c r="N384" s="163">
        <v>15.5</v>
      </c>
      <c r="O384" s="164"/>
      <c r="P384" s="173"/>
      <c r="Q384" s="173"/>
      <c r="R384" s="163">
        <f t="shared" si="5"/>
        <v>15.5</v>
      </c>
    </row>
    <row r="385" spans="3:18" s="221" customFormat="1" ht="20.25">
      <c r="C385" s="174"/>
      <c r="D385" s="176" t="s">
        <v>655</v>
      </c>
      <c r="E385" s="171"/>
      <c r="F385" s="175"/>
      <c r="G385" s="175"/>
      <c r="H385" s="175"/>
      <c r="I385" s="175"/>
      <c r="J385" s="176"/>
      <c r="K385" s="171"/>
      <c r="L385" s="177"/>
      <c r="M385" s="176"/>
      <c r="N385" s="177"/>
      <c r="O385" s="176"/>
      <c r="P385" s="178"/>
      <c r="Q385" s="178"/>
      <c r="R385" s="177">
        <v>171</v>
      </c>
    </row>
    <row r="386" spans="3:18" ht="20.25">
      <c r="C386" s="169"/>
      <c r="D386" s="164"/>
      <c r="E386" s="162"/>
      <c r="F386" s="172"/>
      <c r="G386" s="172"/>
      <c r="H386" s="172"/>
      <c r="I386" s="172"/>
      <c r="J386" s="164"/>
      <c r="K386" s="162"/>
      <c r="L386" s="163"/>
      <c r="M386" s="164"/>
      <c r="N386" s="163"/>
      <c r="O386" s="164"/>
      <c r="P386" s="173"/>
      <c r="Q386" s="173"/>
      <c r="R386" s="163"/>
    </row>
    <row r="387" spans="3:18" ht="39.75" customHeight="1">
      <c r="C387" s="169" t="s">
        <v>202</v>
      </c>
      <c r="D387" s="637" t="s">
        <v>875</v>
      </c>
      <c r="E387" s="637"/>
      <c r="F387" s="637"/>
      <c r="G387" s="637"/>
      <c r="H387" s="637"/>
      <c r="I387" s="637"/>
      <c r="J387" s="637"/>
      <c r="K387" s="637"/>
      <c r="L387" s="641" t="s">
        <v>623</v>
      </c>
      <c r="M387" s="641"/>
      <c r="N387" s="641"/>
      <c r="O387" s="226"/>
      <c r="P387" s="183">
        <f>SUM(R390:R396)</f>
        <v>817.37</v>
      </c>
      <c r="Q387" s="183"/>
      <c r="R387" s="184" t="s">
        <v>9</v>
      </c>
    </row>
    <row r="388" spans="3:18" ht="20.25">
      <c r="C388" s="169"/>
      <c r="D388" s="155" t="s">
        <v>640</v>
      </c>
      <c r="E388" s="170"/>
      <c r="F388" s="170"/>
      <c r="G388" s="170"/>
      <c r="H388" s="170"/>
      <c r="I388" s="170"/>
      <c r="J388" s="161"/>
      <c r="K388" s="161"/>
      <c r="L388" s="156" t="s">
        <v>638</v>
      </c>
      <c r="M388" s="152"/>
      <c r="N388" s="156" t="s">
        <v>811</v>
      </c>
      <c r="O388" s="152"/>
      <c r="P388" s="156"/>
      <c r="Q388" s="153"/>
      <c r="R388" s="157" t="s">
        <v>626</v>
      </c>
    </row>
    <row r="389" spans="3:18" ht="20.25">
      <c r="C389" s="169"/>
      <c r="D389" s="645" t="s">
        <v>682</v>
      </c>
      <c r="E389" s="646"/>
      <c r="F389" s="646"/>
      <c r="G389" s="646"/>
      <c r="H389" s="646"/>
      <c r="I389" s="646"/>
      <c r="J389" s="646"/>
      <c r="K389" s="646"/>
      <c r="L389" s="646"/>
      <c r="M389" s="646"/>
      <c r="N389" s="646"/>
      <c r="O389" s="646"/>
      <c r="P389" s="646"/>
      <c r="Q389" s="646"/>
      <c r="R389" s="647"/>
    </row>
    <row r="390" spans="3:18" ht="20.25">
      <c r="C390" s="169"/>
      <c r="D390" s="164" t="s">
        <v>860</v>
      </c>
      <c r="E390" s="162"/>
      <c r="F390" s="172"/>
      <c r="G390" s="172"/>
      <c r="H390" s="172"/>
      <c r="I390" s="172"/>
      <c r="J390" s="164"/>
      <c r="K390" s="162"/>
      <c r="L390" s="163">
        <v>6</v>
      </c>
      <c r="M390" s="164"/>
      <c r="N390" s="163">
        <v>62</v>
      </c>
      <c r="O390" s="164"/>
      <c r="P390" s="173"/>
      <c r="Q390" s="173"/>
      <c r="R390" s="163">
        <f t="shared" ref="R390:R395" si="6">L390*N390</f>
        <v>372</v>
      </c>
    </row>
    <row r="391" spans="3:18" ht="20.25">
      <c r="C391" s="169"/>
      <c r="D391" s="164" t="s">
        <v>828</v>
      </c>
      <c r="E391" s="162"/>
      <c r="F391" s="172"/>
      <c r="G391" s="172"/>
      <c r="H391" s="172"/>
      <c r="I391" s="172"/>
      <c r="J391" s="164"/>
      <c r="K391" s="162"/>
      <c r="L391" s="163">
        <v>1</v>
      </c>
      <c r="M391" s="164"/>
      <c r="N391" s="163">
        <v>21.01</v>
      </c>
      <c r="O391" s="164"/>
      <c r="P391" s="173"/>
      <c r="Q391" s="173"/>
      <c r="R391" s="163">
        <f t="shared" si="6"/>
        <v>21.01</v>
      </c>
    </row>
    <row r="392" spans="3:18" s="221" customFormat="1" ht="20.25">
      <c r="C392" s="174"/>
      <c r="D392" s="176" t="s">
        <v>829</v>
      </c>
      <c r="E392" s="171"/>
      <c r="F392" s="175"/>
      <c r="G392" s="175"/>
      <c r="H392" s="175"/>
      <c r="I392" s="175"/>
      <c r="J392" s="176"/>
      <c r="K392" s="171"/>
      <c r="L392" s="177">
        <v>2</v>
      </c>
      <c r="M392" s="176"/>
      <c r="N392" s="177">
        <v>14.7</v>
      </c>
      <c r="O392" s="176"/>
      <c r="P392" s="178"/>
      <c r="Q392" s="178"/>
      <c r="R392" s="163">
        <f t="shared" si="6"/>
        <v>29.4</v>
      </c>
    </row>
    <row r="393" spans="3:18" s="221" customFormat="1" ht="20.25">
      <c r="C393" s="174"/>
      <c r="D393" s="176" t="s">
        <v>862</v>
      </c>
      <c r="E393" s="171"/>
      <c r="F393" s="175"/>
      <c r="G393" s="175"/>
      <c r="H393" s="175"/>
      <c r="I393" s="175"/>
      <c r="J393" s="176"/>
      <c r="K393" s="171"/>
      <c r="L393" s="177">
        <v>2</v>
      </c>
      <c r="M393" s="176"/>
      <c r="N393" s="177">
        <v>3.52</v>
      </c>
      <c r="O393" s="176"/>
      <c r="P393" s="178"/>
      <c r="Q393" s="178"/>
      <c r="R393" s="163">
        <f t="shared" si="6"/>
        <v>7.04</v>
      </c>
    </row>
    <row r="394" spans="3:18" s="221" customFormat="1" ht="20.25">
      <c r="C394" s="174"/>
      <c r="D394" s="176" t="s">
        <v>861</v>
      </c>
      <c r="E394" s="171"/>
      <c r="F394" s="175"/>
      <c r="G394" s="175"/>
      <c r="H394" s="175"/>
      <c r="I394" s="175"/>
      <c r="J394" s="176"/>
      <c r="K394" s="171"/>
      <c r="L394" s="177">
        <v>1</v>
      </c>
      <c r="M394" s="176"/>
      <c r="N394" s="177">
        <f>179.62+21.8</f>
        <v>201.42000000000002</v>
      </c>
      <c r="O394" s="176"/>
      <c r="P394" s="178"/>
      <c r="Q394" s="178"/>
      <c r="R394" s="163">
        <f t="shared" si="6"/>
        <v>201.42000000000002</v>
      </c>
    </row>
    <row r="395" spans="3:18" ht="20.25">
      <c r="C395" s="169"/>
      <c r="D395" s="164" t="s">
        <v>810</v>
      </c>
      <c r="E395" s="162"/>
      <c r="F395" s="172"/>
      <c r="G395" s="172"/>
      <c r="H395" s="172"/>
      <c r="I395" s="172"/>
      <c r="J395" s="164"/>
      <c r="K395" s="162"/>
      <c r="L395" s="163">
        <v>1</v>
      </c>
      <c r="M395" s="164"/>
      <c r="N395" s="163">
        <v>15.5</v>
      </c>
      <c r="O395" s="164"/>
      <c r="P395" s="173"/>
      <c r="Q395" s="173"/>
      <c r="R395" s="163">
        <f t="shared" si="6"/>
        <v>15.5</v>
      </c>
    </row>
    <row r="396" spans="3:18" s="221" customFormat="1" ht="20.25">
      <c r="C396" s="174"/>
      <c r="D396" s="176" t="s">
        <v>655</v>
      </c>
      <c r="E396" s="171"/>
      <c r="F396" s="175"/>
      <c r="G396" s="175"/>
      <c r="H396" s="175"/>
      <c r="I396" s="175"/>
      <c r="J396" s="176"/>
      <c r="K396" s="171"/>
      <c r="L396" s="177"/>
      <c r="M396" s="176"/>
      <c r="N396" s="177"/>
      <c r="O396" s="176"/>
      <c r="P396" s="178"/>
      <c r="Q396" s="178"/>
      <c r="R396" s="177">
        <v>171</v>
      </c>
    </row>
    <row r="397" spans="3:18" ht="20.25">
      <c r="C397" s="169"/>
      <c r="D397" s="164"/>
      <c r="E397" s="162"/>
      <c r="F397" s="172"/>
      <c r="G397" s="172"/>
      <c r="H397" s="172"/>
      <c r="I397" s="172"/>
      <c r="J397" s="164"/>
      <c r="K397" s="162"/>
      <c r="L397" s="163"/>
      <c r="M397" s="164"/>
      <c r="N397" s="163"/>
      <c r="O397" s="164"/>
      <c r="P397" s="173"/>
      <c r="Q397" s="173"/>
      <c r="R397" s="163"/>
    </row>
    <row r="398" spans="3:18" ht="20.25">
      <c r="C398" s="169" t="s">
        <v>1036</v>
      </c>
      <c r="D398" s="637" t="s">
        <v>878</v>
      </c>
      <c r="E398" s="637"/>
      <c r="F398" s="637"/>
      <c r="G398" s="637"/>
      <c r="H398" s="637"/>
      <c r="I398" s="637"/>
      <c r="J398" s="637"/>
      <c r="K398" s="637"/>
      <c r="L398" s="641" t="s">
        <v>623</v>
      </c>
      <c r="M398" s="641"/>
      <c r="N398" s="641"/>
      <c r="O398" s="226"/>
      <c r="P398" s="183">
        <f>SUM(R401:R405)</f>
        <v>407.98999999999995</v>
      </c>
      <c r="Q398" s="183"/>
      <c r="R398" s="184" t="s">
        <v>9</v>
      </c>
    </row>
    <row r="399" spans="3:18" ht="20.25">
      <c r="C399" s="174"/>
      <c r="D399" s="654" t="s">
        <v>682</v>
      </c>
      <c r="E399" s="655"/>
      <c r="F399" s="655"/>
      <c r="G399" s="655"/>
      <c r="H399" s="655"/>
      <c r="I399" s="655"/>
      <c r="J399" s="655"/>
      <c r="K399" s="655"/>
      <c r="L399" s="655"/>
      <c r="M399" s="655"/>
      <c r="N399" s="655"/>
      <c r="O399" s="655"/>
      <c r="P399" s="655"/>
      <c r="Q399" s="655"/>
      <c r="R399" s="656"/>
    </row>
    <row r="400" spans="3:18" ht="20.25">
      <c r="C400" s="169"/>
      <c r="D400" s="155" t="s">
        <v>640</v>
      </c>
      <c r="E400" s="170"/>
      <c r="F400" s="170"/>
      <c r="G400" s="170"/>
      <c r="H400" s="170"/>
      <c r="I400" s="156" t="s">
        <v>645</v>
      </c>
      <c r="J400" s="161"/>
      <c r="K400" s="161"/>
      <c r="L400" s="156" t="s">
        <v>638</v>
      </c>
      <c r="M400" s="152"/>
      <c r="N400" s="156" t="s">
        <v>817</v>
      </c>
      <c r="O400" s="152"/>
      <c r="P400" s="156" t="s">
        <v>639</v>
      </c>
      <c r="Q400" s="153"/>
      <c r="R400" s="157" t="s">
        <v>626</v>
      </c>
    </row>
    <row r="401" spans="3:18" ht="20.25">
      <c r="C401" s="169"/>
      <c r="D401" s="164" t="s">
        <v>827</v>
      </c>
      <c r="E401" s="162"/>
      <c r="F401" s="172"/>
      <c r="G401" s="172"/>
      <c r="H401" s="172"/>
      <c r="I401" s="162">
        <f>(4*3)+2.69</f>
        <v>14.69</v>
      </c>
      <c r="J401" s="164"/>
      <c r="K401" s="162"/>
      <c r="L401" s="163">
        <v>6</v>
      </c>
      <c r="M401" s="164"/>
      <c r="N401" s="163">
        <v>31.45</v>
      </c>
      <c r="O401" s="164"/>
      <c r="P401" s="173">
        <v>1.75</v>
      </c>
      <c r="Q401" s="173"/>
      <c r="R401" s="163">
        <f>L401*N401*P401-I401</f>
        <v>315.53499999999997</v>
      </c>
    </row>
    <row r="402" spans="3:18" ht="20.25">
      <c r="C402" s="169"/>
      <c r="D402" s="164" t="s">
        <v>828</v>
      </c>
      <c r="E402" s="162"/>
      <c r="F402" s="172"/>
      <c r="G402" s="172"/>
      <c r="H402" s="172"/>
      <c r="I402" s="162">
        <f>3+2.69</f>
        <v>5.6899999999999995</v>
      </c>
      <c r="J402" s="164"/>
      <c r="K402" s="162"/>
      <c r="L402" s="163">
        <v>1</v>
      </c>
      <c r="M402" s="164"/>
      <c r="N402" s="163">
        <v>18.34</v>
      </c>
      <c r="O402" s="164"/>
      <c r="P402" s="173">
        <v>1.75</v>
      </c>
      <c r="Q402" s="173"/>
      <c r="R402" s="163">
        <f>L402*N402*P402-I402</f>
        <v>26.405000000000001</v>
      </c>
    </row>
    <row r="403" spans="3:18" ht="20.25">
      <c r="C403" s="169"/>
      <c r="D403" s="176" t="s">
        <v>810</v>
      </c>
      <c r="E403" s="162"/>
      <c r="F403" s="172"/>
      <c r="G403" s="172"/>
      <c r="H403" s="172"/>
      <c r="I403" s="162"/>
      <c r="J403" s="164"/>
      <c r="K403" s="162"/>
      <c r="L403" s="163">
        <v>1</v>
      </c>
      <c r="M403" s="164"/>
      <c r="N403" s="163">
        <v>9.4</v>
      </c>
      <c r="O403" s="164"/>
      <c r="P403" s="173">
        <v>1.1000000000000001</v>
      </c>
      <c r="Q403" s="173"/>
      <c r="R403" s="163">
        <f>L403*N403*P403-I403</f>
        <v>10.340000000000002</v>
      </c>
    </row>
    <row r="404" spans="3:18" ht="20.25">
      <c r="C404" s="169"/>
      <c r="D404" s="164"/>
      <c r="E404" s="162"/>
      <c r="F404" s="172"/>
      <c r="G404" s="172"/>
      <c r="H404" s="172"/>
      <c r="I404" s="162"/>
      <c r="J404" s="164"/>
      <c r="K404" s="162"/>
      <c r="L404" s="163">
        <v>1</v>
      </c>
      <c r="M404" s="164"/>
      <c r="N404" s="163">
        <v>12.2</v>
      </c>
      <c r="O404" s="164"/>
      <c r="P404" s="173">
        <v>2.8</v>
      </c>
      <c r="Q404" s="173"/>
      <c r="R404" s="163">
        <f>L404*N404*P404-I404</f>
        <v>34.159999999999997</v>
      </c>
    </row>
    <row r="405" spans="3:18" ht="20.25">
      <c r="C405" s="169"/>
      <c r="D405" s="164" t="s">
        <v>861</v>
      </c>
      <c r="E405" s="162"/>
      <c r="F405" s="172"/>
      <c r="G405" s="172"/>
      <c r="H405" s="172"/>
      <c r="I405" s="162">
        <f>5*2.69</f>
        <v>13.45</v>
      </c>
      <c r="J405" s="164"/>
      <c r="K405" s="162"/>
      <c r="L405" s="163">
        <v>1</v>
      </c>
      <c r="M405" s="164"/>
      <c r="N405" s="163">
        <v>20</v>
      </c>
      <c r="O405" s="164"/>
      <c r="P405" s="173">
        <v>1.75</v>
      </c>
      <c r="Q405" s="173"/>
      <c r="R405" s="163">
        <f>L405*N405*P405-I405</f>
        <v>21.55</v>
      </c>
    </row>
    <row r="406" spans="3:18" ht="20.25">
      <c r="C406" s="174"/>
      <c r="D406" s="176"/>
      <c r="E406" s="171"/>
      <c r="F406" s="175"/>
      <c r="G406" s="175"/>
      <c r="H406" s="175"/>
      <c r="I406" s="175"/>
      <c r="J406" s="176"/>
      <c r="K406" s="171"/>
      <c r="L406" s="177"/>
      <c r="M406" s="176"/>
      <c r="N406" s="177"/>
      <c r="O406" s="176"/>
      <c r="P406" s="178"/>
      <c r="Q406" s="178"/>
      <c r="R406" s="177"/>
    </row>
    <row r="407" spans="3:18" ht="20.25">
      <c r="C407" s="169" t="s">
        <v>1037</v>
      </c>
      <c r="D407" s="637" t="s">
        <v>443</v>
      </c>
      <c r="E407" s="637"/>
      <c r="F407" s="637"/>
      <c r="G407" s="637"/>
      <c r="H407" s="637"/>
      <c r="I407" s="637"/>
      <c r="J407" s="637"/>
      <c r="K407" s="637"/>
      <c r="L407" s="641" t="s">
        <v>623</v>
      </c>
      <c r="M407" s="641"/>
      <c r="N407" s="641"/>
      <c r="O407" s="226"/>
      <c r="P407" s="183">
        <f>SUM(R410:R414)</f>
        <v>407.98999999999995</v>
      </c>
      <c r="Q407" s="183"/>
      <c r="R407" s="184" t="s">
        <v>9</v>
      </c>
    </row>
    <row r="408" spans="3:18" ht="20.25">
      <c r="C408" s="174"/>
      <c r="D408" s="654" t="s">
        <v>682</v>
      </c>
      <c r="E408" s="655"/>
      <c r="F408" s="655"/>
      <c r="G408" s="655"/>
      <c r="H408" s="655"/>
      <c r="I408" s="655"/>
      <c r="J408" s="655"/>
      <c r="K408" s="655"/>
      <c r="L408" s="655"/>
      <c r="M408" s="655"/>
      <c r="N408" s="655"/>
      <c r="O408" s="655"/>
      <c r="P408" s="655"/>
      <c r="Q408" s="655"/>
      <c r="R408" s="656"/>
    </row>
    <row r="409" spans="3:18" ht="20.25">
      <c r="C409" s="169"/>
      <c r="D409" s="155" t="s">
        <v>640</v>
      </c>
      <c r="E409" s="170"/>
      <c r="F409" s="170"/>
      <c r="G409" s="170"/>
      <c r="H409" s="170"/>
      <c r="I409" s="156" t="s">
        <v>645</v>
      </c>
      <c r="J409" s="161"/>
      <c r="K409" s="161"/>
      <c r="L409" s="156" t="s">
        <v>638</v>
      </c>
      <c r="M409" s="152"/>
      <c r="N409" s="156" t="s">
        <v>817</v>
      </c>
      <c r="O409" s="152"/>
      <c r="P409" s="156" t="s">
        <v>639</v>
      </c>
      <c r="Q409" s="153"/>
      <c r="R409" s="157" t="s">
        <v>626</v>
      </c>
    </row>
    <row r="410" spans="3:18" ht="20.25">
      <c r="C410" s="169"/>
      <c r="D410" s="164" t="s">
        <v>827</v>
      </c>
      <c r="E410" s="162"/>
      <c r="F410" s="172"/>
      <c r="G410" s="172"/>
      <c r="H410" s="172"/>
      <c r="I410" s="162">
        <f>(4*3)+2.69</f>
        <v>14.69</v>
      </c>
      <c r="J410" s="164"/>
      <c r="K410" s="162"/>
      <c r="L410" s="163">
        <v>6</v>
      </c>
      <c r="M410" s="164"/>
      <c r="N410" s="163">
        <v>31.45</v>
      </c>
      <c r="O410" s="164"/>
      <c r="P410" s="173">
        <v>1.75</v>
      </c>
      <c r="Q410" s="173"/>
      <c r="R410" s="163">
        <f>L410*N410*P410-I410</f>
        <v>315.53499999999997</v>
      </c>
    </row>
    <row r="411" spans="3:18" ht="20.25">
      <c r="C411" s="169"/>
      <c r="D411" s="164" t="s">
        <v>828</v>
      </c>
      <c r="E411" s="162"/>
      <c r="F411" s="172"/>
      <c r="G411" s="172"/>
      <c r="H411" s="172"/>
      <c r="I411" s="162">
        <f>3+2.69</f>
        <v>5.6899999999999995</v>
      </c>
      <c r="J411" s="164"/>
      <c r="K411" s="162"/>
      <c r="L411" s="163">
        <v>1</v>
      </c>
      <c r="M411" s="164"/>
      <c r="N411" s="163">
        <v>18.34</v>
      </c>
      <c r="O411" s="164"/>
      <c r="P411" s="173">
        <v>1.75</v>
      </c>
      <c r="Q411" s="173"/>
      <c r="R411" s="163">
        <f>L411*N411*P411-I411</f>
        <v>26.405000000000001</v>
      </c>
    </row>
    <row r="412" spans="3:18" ht="20.25">
      <c r="C412" s="169"/>
      <c r="D412" s="176" t="s">
        <v>810</v>
      </c>
      <c r="E412" s="162"/>
      <c r="F412" s="172"/>
      <c r="G412" s="172"/>
      <c r="H412" s="172"/>
      <c r="I412" s="162"/>
      <c r="J412" s="164"/>
      <c r="K412" s="162"/>
      <c r="L412" s="163">
        <v>1</v>
      </c>
      <c r="M412" s="164"/>
      <c r="N412" s="163">
        <v>9.4</v>
      </c>
      <c r="O412" s="164"/>
      <c r="P412" s="173">
        <v>1.1000000000000001</v>
      </c>
      <c r="Q412" s="173"/>
      <c r="R412" s="163">
        <f>L412*N412*P412-I412</f>
        <v>10.340000000000002</v>
      </c>
    </row>
    <row r="413" spans="3:18" ht="20.25">
      <c r="C413" s="169"/>
      <c r="D413" s="164"/>
      <c r="E413" s="162"/>
      <c r="F413" s="172"/>
      <c r="G413" s="172"/>
      <c r="H413" s="172"/>
      <c r="I413" s="162"/>
      <c r="J413" s="164"/>
      <c r="K413" s="162"/>
      <c r="L413" s="163">
        <v>1</v>
      </c>
      <c r="M413" s="164"/>
      <c r="N413" s="163">
        <v>12.2</v>
      </c>
      <c r="O413" s="164"/>
      <c r="P413" s="173">
        <v>2.8</v>
      </c>
      <c r="Q413" s="173"/>
      <c r="R413" s="163">
        <f>L413*N413*P413-I413</f>
        <v>34.159999999999997</v>
      </c>
    </row>
    <row r="414" spans="3:18" ht="20.25">
      <c r="C414" s="169"/>
      <c r="D414" s="164" t="s">
        <v>1095</v>
      </c>
      <c r="E414" s="162"/>
      <c r="F414" s="172"/>
      <c r="G414" s="172"/>
      <c r="H414" s="172"/>
      <c r="I414" s="162">
        <f>5*2.69</f>
        <v>13.45</v>
      </c>
      <c r="J414" s="164"/>
      <c r="K414" s="162"/>
      <c r="L414" s="163">
        <v>1</v>
      </c>
      <c r="M414" s="164"/>
      <c r="N414" s="163">
        <v>20</v>
      </c>
      <c r="O414" s="164"/>
      <c r="P414" s="173">
        <v>1.75</v>
      </c>
      <c r="Q414" s="173"/>
      <c r="R414" s="163">
        <f>L414*N414*P414-I414</f>
        <v>21.55</v>
      </c>
    </row>
    <row r="415" spans="3:18" ht="20.25">
      <c r="C415" s="174"/>
      <c r="D415" s="176"/>
      <c r="E415" s="171"/>
      <c r="F415" s="175"/>
      <c r="G415" s="175"/>
      <c r="H415" s="175"/>
      <c r="I415" s="175"/>
      <c r="J415" s="176"/>
      <c r="K415" s="171"/>
      <c r="L415" s="177"/>
      <c r="M415" s="176"/>
      <c r="N415" s="177"/>
      <c r="O415" s="176"/>
      <c r="P415" s="178"/>
      <c r="Q415" s="178"/>
      <c r="R415" s="177"/>
    </row>
    <row r="416" spans="3:18" ht="20.25">
      <c r="C416" s="169" t="s">
        <v>1038</v>
      </c>
      <c r="D416" s="637" t="s">
        <v>912</v>
      </c>
      <c r="E416" s="637"/>
      <c r="F416" s="637"/>
      <c r="G416" s="637"/>
      <c r="H416" s="637"/>
      <c r="I416" s="637"/>
      <c r="J416" s="637"/>
      <c r="K416" s="637"/>
      <c r="L416" s="641" t="s">
        <v>623</v>
      </c>
      <c r="M416" s="641"/>
      <c r="N416" s="641"/>
      <c r="O416" s="226"/>
      <c r="P416" s="183">
        <f>SUM(R419:R423)</f>
        <v>407.98999999999995</v>
      </c>
      <c r="Q416" s="183"/>
      <c r="R416" s="184" t="s">
        <v>9</v>
      </c>
    </row>
    <row r="417" spans="3:18" ht="20.25">
      <c r="C417" s="174"/>
      <c r="D417" s="654" t="s">
        <v>682</v>
      </c>
      <c r="E417" s="655"/>
      <c r="F417" s="655"/>
      <c r="G417" s="655"/>
      <c r="H417" s="655"/>
      <c r="I417" s="655"/>
      <c r="J417" s="655"/>
      <c r="K417" s="655"/>
      <c r="L417" s="655"/>
      <c r="M417" s="655"/>
      <c r="N417" s="655"/>
      <c r="O417" s="655"/>
      <c r="P417" s="655"/>
      <c r="Q417" s="655"/>
      <c r="R417" s="656"/>
    </row>
    <row r="418" spans="3:18" ht="20.25">
      <c r="C418" s="169"/>
      <c r="D418" s="155" t="s">
        <v>640</v>
      </c>
      <c r="E418" s="170"/>
      <c r="F418" s="170"/>
      <c r="G418" s="170"/>
      <c r="H418" s="170"/>
      <c r="I418" s="156" t="s">
        <v>645</v>
      </c>
      <c r="J418" s="161"/>
      <c r="K418" s="161"/>
      <c r="L418" s="156" t="s">
        <v>638</v>
      </c>
      <c r="M418" s="152"/>
      <c r="N418" s="156" t="s">
        <v>817</v>
      </c>
      <c r="O418" s="152"/>
      <c r="P418" s="156" t="s">
        <v>639</v>
      </c>
      <c r="Q418" s="153"/>
      <c r="R418" s="157" t="s">
        <v>626</v>
      </c>
    </row>
    <row r="419" spans="3:18" ht="20.25">
      <c r="C419" s="169"/>
      <c r="D419" s="164" t="s">
        <v>827</v>
      </c>
      <c r="E419" s="162"/>
      <c r="F419" s="172"/>
      <c r="G419" s="172"/>
      <c r="H419" s="172"/>
      <c r="I419" s="162">
        <f>(4*3)+2.69</f>
        <v>14.69</v>
      </c>
      <c r="J419" s="164"/>
      <c r="K419" s="162"/>
      <c r="L419" s="163">
        <v>6</v>
      </c>
      <c r="M419" s="164"/>
      <c r="N419" s="163">
        <v>31.45</v>
      </c>
      <c r="O419" s="164"/>
      <c r="P419" s="173">
        <v>1.75</v>
      </c>
      <c r="Q419" s="173"/>
      <c r="R419" s="163">
        <f>L419*N419*P419-I419</f>
        <v>315.53499999999997</v>
      </c>
    </row>
    <row r="420" spans="3:18" ht="20.25">
      <c r="C420" s="169"/>
      <c r="D420" s="164" t="s">
        <v>828</v>
      </c>
      <c r="E420" s="162"/>
      <c r="F420" s="172"/>
      <c r="G420" s="172"/>
      <c r="H420" s="172"/>
      <c r="I420" s="162">
        <f>3+2.69</f>
        <v>5.6899999999999995</v>
      </c>
      <c r="J420" s="164"/>
      <c r="K420" s="162"/>
      <c r="L420" s="163">
        <v>1</v>
      </c>
      <c r="M420" s="164"/>
      <c r="N420" s="163">
        <v>18.34</v>
      </c>
      <c r="O420" s="164"/>
      <c r="P420" s="173">
        <v>1.75</v>
      </c>
      <c r="Q420" s="173"/>
      <c r="R420" s="163">
        <f>L420*N420*P420-I420</f>
        <v>26.405000000000001</v>
      </c>
    </row>
    <row r="421" spans="3:18" ht="20.25">
      <c r="C421" s="169"/>
      <c r="D421" s="176" t="s">
        <v>810</v>
      </c>
      <c r="E421" s="162"/>
      <c r="F421" s="172"/>
      <c r="G421" s="172"/>
      <c r="H421" s="172"/>
      <c r="I421" s="162"/>
      <c r="J421" s="164"/>
      <c r="K421" s="162"/>
      <c r="L421" s="163">
        <v>1</v>
      </c>
      <c r="M421" s="164"/>
      <c r="N421" s="163">
        <v>9.4</v>
      </c>
      <c r="O421" s="164"/>
      <c r="P421" s="173">
        <v>1.1000000000000001</v>
      </c>
      <c r="Q421" s="173"/>
      <c r="R421" s="163">
        <f>L421*N421*P421-I421</f>
        <v>10.340000000000002</v>
      </c>
    </row>
    <row r="422" spans="3:18" ht="20.25">
      <c r="C422" s="169"/>
      <c r="D422" s="164"/>
      <c r="E422" s="162"/>
      <c r="F422" s="172"/>
      <c r="G422" s="172"/>
      <c r="H422" s="172"/>
      <c r="I422" s="162"/>
      <c r="J422" s="164"/>
      <c r="K422" s="162"/>
      <c r="L422" s="163">
        <v>1</v>
      </c>
      <c r="M422" s="164"/>
      <c r="N422" s="163">
        <v>12.2</v>
      </c>
      <c r="O422" s="164"/>
      <c r="P422" s="173">
        <v>2.8</v>
      </c>
      <c r="Q422" s="173"/>
      <c r="R422" s="163">
        <f>L422*N422*P422-I422</f>
        <v>34.159999999999997</v>
      </c>
    </row>
    <row r="423" spans="3:18" ht="20.25">
      <c r="C423" s="169"/>
      <c r="D423" s="164" t="s">
        <v>861</v>
      </c>
      <c r="E423" s="162"/>
      <c r="F423" s="172"/>
      <c r="G423" s="172"/>
      <c r="H423" s="172"/>
      <c r="I423" s="162">
        <f>5*2.69</f>
        <v>13.45</v>
      </c>
      <c r="J423" s="164"/>
      <c r="K423" s="162"/>
      <c r="L423" s="163">
        <v>1</v>
      </c>
      <c r="M423" s="164"/>
      <c r="N423" s="163">
        <v>20</v>
      </c>
      <c r="O423" s="164"/>
      <c r="P423" s="173">
        <v>1.75</v>
      </c>
      <c r="Q423" s="173"/>
      <c r="R423" s="163">
        <f>L423*N423*P423-I423</f>
        <v>21.55</v>
      </c>
    </row>
    <row r="424" spans="3:18" ht="20.25">
      <c r="C424" s="174"/>
      <c r="D424" s="176"/>
      <c r="E424" s="171"/>
      <c r="F424" s="175"/>
      <c r="G424" s="175"/>
      <c r="H424" s="175"/>
      <c r="I424" s="175"/>
      <c r="J424" s="176"/>
      <c r="K424" s="171"/>
      <c r="L424" s="177"/>
      <c r="M424" s="176"/>
      <c r="N424" s="177"/>
      <c r="O424" s="176"/>
      <c r="P424" s="178"/>
      <c r="Q424" s="178"/>
      <c r="R424" s="177"/>
    </row>
    <row r="425" spans="3:18" ht="20.25">
      <c r="C425" s="154" t="s">
        <v>1039</v>
      </c>
      <c r="D425" s="645" t="s">
        <v>233</v>
      </c>
      <c r="E425" s="646"/>
      <c r="F425" s="646"/>
      <c r="G425" s="646"/>
      <c r="H425" s="646"/>
      <c r="I425" s="646"/>
      <c r="J425" s="646"/>
      <c r="K425" s="647"/>
      <c r="L425" s="641" t="s">
        <v>623</v>
      </c>
      <c r="M425" s="641"/>
      <c r="N425" s="641"/>
      <c r="O425" s="226"/>
      <c r="P425" s="296">
        <f>SUM(R428+R429+R434+R435+R436+R430+R437)+R440+R431</f>
        <v>1298.1600000000001</v>
      </c>
      <c r="Q425" s="183"/>
      <c r="R425" s="184" t="s">
        <v>9</v>
      </c>
    </row>
    <row r="426" spans="3:18" ht="20.25">
      <c r="C426" s="169"/>
      <c r="D426" s="155" t="s">
        <v>640</v>
      </c>
      <c r="E426" s="170"/>
      <c r="F426" s="170"/>
      <c r="G426" s="170"/>
      <c r="H426" s="170"/>
      <c r="I426" s="156" t="s">
        <v>645</v>
      </c>
      <c r="J426" s="161"/>
      <c r="K426" s="161"/>
      <c r="L426" s="156" t="s">
        <v>638</v>
      </c>
      <c r="M426" s="152"/>
      <c r="N426" s="156" t="s">
        <v>817</v>
      </c>
      <c r="O426" s="152"/>
      <c r="P426" s="156" t="s">
        <v>639</v>
      </c>
      <c r="Q426" s="153"/>
      <c r="R426" s="157" t="s">
        <v>626</v>
      </c>
    </row>
    <row r="427" spans="3:18" ht="20.25">
      <c r="C427" s="174"/>
      <c r="D427" s="654" t="s">
        <v>682</v>
      </c>
      <c r="E427" s="655"/>
      <c r="F427" s="655"/>
      <c r="G427" s="655"/>
      <c r="H427" s="655"/>
      <c r="I427" s="655"/>
      <c r="J427" s="655"/>
      <c r="K427" s="655"/>
      <c r="L427" s="655"/>
      <c r="M427" s="655"/>
      <c r="N427" s="655"/>
      <c r="O427" s="655"/>
      <c r="P427" s="655"/>
      <c r="Q427" s="655"/>
      <c r="R427" s="656"/>
    </row>
    <row r="428" spans="3:18" ht="20.25">
      <c r="C428" s="174"/>
      <c r="D428" s="176" t="s">
        <v>914</v>
      </c>
      <c r="E428" s="171"/>
      <c r="F428" s="175"/>
      <c r="G428" s="175"/>
      <c r="H428" s="175"/>
      <c r="I428" s="171"/>
      <c r="J428" s="176"/>
      <c r="K428" s="171"/>
      <c r="L428" s="177">
        <v>17</v>
      </c>
      <c r="M428" s="176"/>
      <c r="N428" s="177">
        <v>1.2</v>
      </c>
      <c r="O428" s="176"/>
      <c r="P428" s="178">
        <v>3.7</v>
      </c>
      <c r="Q428" s="178"/>
      <c r="R428" s="177">
        <f>L428*N428*P428-I428</f>
        <v>75.48</v>
      </c>
    </row>
    <row r="429" spans="3:18" ht="20.25">
      <c r="C429" s="174"/>
      <c r="D429" s="176" t="s">
        <v>824</v>
      </c>
      <c r="E429" s="171"/>
      <c r="F429" s="175"/>
      <c r="G429" s="175"/>
      <c r="H429" s="175"/>
      <c r="I429" s="171"/>
      <c r="J429" s="176"/>
      <c r="K429" s="171"/>
      <c r="L429" s="177">
        <v>2</v>
      </c>
      <c r="M429" s="176"/>
      <c r="N429" s="177">
        <v>53.55</v>
      </c>
      <c r="O429" s="176"/>
      <c r="P429" s="178">
        <v>1.1000000000000001</v>
      </c>
      <c r="Q429" s="178"/>
      <c r="R429" s="177">
        <f>L429*N429*P429-I429</f>
        <v>117.81</v>
      </c>
    </row>
    <row r="430" spans="3:18" ht="20.25">
      <c r="C430" s="174"/>
      <c r="D430" s="176" t="s">
        <v>915</v>
      </c>
      <c r="E430" s="171"/>
      <c r="F430" s="175"/>
      <c r="G430" s="175"/>
      <c r="H430" s="175"/>
      <c r="I430" s="171"/>
      <c r="J430" s="176"/>
      <c r="K430" s="171"/>
      <c r="L430" s="177"/>
      <c r="M430" s="176"/>
      <c r="N430" s="177">
        <v>24.5</v>
      </c>
      <c r="O430" s="176"/>
      <c r="P430" s="178">
        <v>3.7</v>
      </c>
      <c r="Q430" s="178"/>
      <c r="R430" s="177">
        <f>N430*P430</f>
        <v>90.65</v>
      </c>
    </row>
    <row r="431" spans="3:18" ht="20.25">
      <c r="C431" s="174"/>
      <c r="D431" s="176" t="s">
        <v>672</v>
      </c>
      <c r="E431" s="171"/>
      <c r="F431" s="175"/>
      <c r="G431" s="175"/>
      <c r="H431" s="175"/>
      <c r="I431" s="171"/>
      <c r="J431" s="176"/>
      <c r="K431" s="171"/>
      <c r="L431" s="177">
        <v>1</v>
      </c>
      <c r="M431" s="176"/>
      <c r="N431" s="177">
        <v>153</v>
      </c>
      <c r="O431" s="176"/>
      <c r="P431" s="178">
        <v>0.76</v>
      </c>
      <c r="Q431" s="178"/>
      <c r="R431" s="177">
        <f>N431*P431</f>
        <v>116.28</v>
      </c>
    </row>
    <row r="432" spans="3:18" ht="20.25">
      <c r="C432" s="174"/>
      <c r="D432" s="176"/>
      <c r="E432" s="171"/>
      <c r="F432" s="175"/>
      <c r="G432" s="175"/>
      <c r="H432" s="175"/>
      <c r="I432" s="175"/>
      <c r="J432" s="226"/>
      <c r="K432" s="184"/>
      <c r="L432" s="177"/>
      <c r="M432" s="176"/>
      <c r="N432" s="177"/>
      <c r="O432" s="176"/>
      <c r="P432" s="178"/>
      <c r="Q432" s="178"/>
      <c r="R432" s="177"/>
    </row>
    <row r="433" spans="3:18" ht="20.25">
      <c r="C433" s="174"/>
      <c r="D433" s="658" t="s">
        <v>650</v>
      </c>
      <c r="E433" s="659"/>
      <c r="F433" s="659"/>
      <c r="G433" s="659"/>
      <c r="H433" s="659"/>
      <c r="I433" s="659"/>
      <c r="J433" s="659"/>
      <c r="K433" s="659"/>
      <c r="L433" s="659"/>
      <c r="M433" s="659"/>
      <c r="N433" s="659"/>
      <c r="O433" s="659"/>
      <c r="P433" s="659"/>
      <c r="Q433" s="659"/>
      <c r="R433" s="660"/>
    </row>
    <row r="434" spans="3:18" ht="20.25">
      <c r="C434" s="174"/>
      <c r="D434" s="176" t="s">
        <v>914</v>
      </c>
      <c r="E434" s="171"/>
      <c r="F434" s="175"/>
      <c r="G434" s="175"/>
      <c r="H434" s="175"/>
      <c r="I434" s="171"/>
      <c r="J434" s="176"/>
      <c r="K434" s="171"/>
      <c r="L434" s="177">
        <v>17</v>
      </c>
      <c r="M434" s="176"/>
      <c r="N434" s="177">
        <v>1.2</v>
      </c>
      <c r="O434" s="176"/>
      <c r="P434" s="178">
        <v>2.8</v>
      </c>
      <c r="Q434" s="178"/>
      <c r="R434" s="177">
        <f>L434*N434*P434-I434</f>
        <v>57.11999999999999</v>
      </c>
    </row>
    <row r="435" spans="3:18" ht="20.25">
      <c r="C435" s="174"/>
      <c r="D435" s="176" t="s">
        <v>824</v>
      </c>
      <c r="E435" s="171"/>
      <c r="F435" s="175"/>
      <c r="G435" s="175"/>
      <c r="H435" s="175"/>
      <c r="I435" s="171"/>
      <c r="J435" s="176"/>
      <c r="K435" s="171"/>
      <c r="L435" s="177">
        <v>2</v>
      </c>
      <c r="M435" s="176"/>
      <c r="N435" s="177">
        <v>64.099999999999994</v>
      </c>
      <c r="O435" s="176"/>
      <c r="P435" s="178">
        <v>1.1000000000000001</v>
      </c>
      <c r="Q435" s="178"/>
      <c r="R435" s="177">
        <f>L435*N435*P435-I435</f>
        <v>141.02000000000001</v>
      </c>
    </row>
    <row r="436" spans="3:18" ht="20.25">
      <c r="C436" s="174"/>
      <c r="D436" s="176" t="s">
        <v>825</v>
      </c>
      <c r="E436" s="171"/>
      <c r="F436" s="175"/>
      <c r="G436" s="175"/>
      <c r="H436" s="175"/>
      <c r="I436" s="171"/>
      <c r="J436" s="176"/>
      <c r="K436" s="171"/>
      <c r="L436" s="177">
        <v>2</v>
      </c>
      <c r="M436" s="176"/>
      <c r="N436" s="177">
        <v>60</v>
      </c>
      <c r="O436" s="176"/>
      <c r="P436" s="178">
        <v>1.1000000000000001</v>
      </c>
      <c r="Q436" s="178"/>
      <c r="R436" s="177">
        <f>L436*N436*P436-I436</f>
        <v>132</v>
      </c>
    </row>
    <row r="437" spans="3:18" ht="20.25">
      <c r="C437" s="174"/>
      <c r="D437" s="176" t="s">
        <v>915</v>
      </c>
      <c r="E437" s="171"/>
      <c r="F437" s="175"/>
      <c r="G437" s="175"/>
      <c r="H437" s="175"/>
      <c r="I437" s="171"/>
      <c r="J437" s="176"/>
      <c r="K437" s="171"/>
      <c r="L437" s="177"/>
      <c r="M437" s="176"/>
      <c r="N437" s="177">
        <v>24.5</v>
      </c>
      <c r="O437" s="176"/>
      <c r="P437" s="178">
        <v>2.8</v>
      </c>
      <c r="Q437" s="178"/>
      <c r="R437" s="177">
        <f>N437*P437</f>
        <v>68.599999999999994</v>
      </c>
    </row>
    <row r="438" spans="3:18" ht="20.25">
      <c r="C438" s="174"/>
      <c r="D438" s="176"/>
      <c r="E438" s="171"/>
      <c r="F438" s="175"/>
      <c r="G438" s="175"/>
      <c r="H438" s="175"/>
      <c r="I438" s="175"/>
      <c r="J438" s="176"/>
      <c r="K438" s="171"/>
      <c r="L438" s="177"/>
      <c r="M438" s="176"/>
      <c r="N438" s="177"/>
      <c r="O438" s="176"/>
      <c r="P438" s="178"/>
      <c r="Q438" s="178"/>
      <c r="R438" s="177"/>
    </row>
    <row r="439" spans="3:18" s="221" customFormat="1" ht="20.25">
      <c r="C439" s="174"/>
      <c r="D439" s="642" t="s">
        <v>651</v>
      </c>
      <c r="E439" s="643"/>
      <c r="F439" s="643"/>
      <c r="G439" s="643"/>
      <c r="H439" s="643"/>
      <c r="I439" s="643"/>
      <c r="J439" s="643"/>
      <c r="K439" s="643"/>
      <c r="L439" s="643"/>
      <c r="M439" s="643"/>
      <c r="N439" s="643"/>
      <c r="O439" s="643"/>
      <c r="P439" s="643"/>
      <c r="Q439" s="643"/>
      <c r="R439" s="644"/>
    </row>
    <row r="440" spans="3:18" s="221" customFormat="1" ht="20.25">
      <c r="C440" s="174"/>
      <c r="D440" s="158" t="s">
        <v>1096</v>
      </c>
      <c r="E440" s="340"/>
      <c r="F440" s="340"/>
      <c r="G440" s="340"/>
      <c r="H440" s="340"/>
      <c r="I440" s="176"/>
      <c r="J440" s="340"/>
      <c r="K440" s="340"/>
      <c r="L440" s="177">
        <v>1</v>
      </c>
      <c r="M440" s="176"/>
      <c r="N440" s="177">
        <v>156</v>
      </c>
      <c r="O440" s="176"/>
      <c r="P440" s="178">
        <v>3.2</v>
      </c>
      <c r="Q440" s="178"/>
      <c r="R440" s="177">
        <f>L440*N440*P440</f>
        <v>499.20000000000005</v>
      </c>
    </row>
    <row r="441" spans="3:18" s="221" customFormat="1" ht="20.25">
      <c r="C441" s="174"/>
      <c r="D441" s="158"/>
      <c r="E441" s="340"/>
      <c r="F441" s="340"/>
      <c r="G441" s="340"/>
      <c r="H441" s="340"/>
      <c r="I441" s="176"/>
      <c r="J441" s="340"/>
      <c r="K441" s="340"/>
      <c r="L441" s="177"/>
      <c r="M441" s="176"/>
      <c r="N441" s="177"/>
      <c r="O441" s="176"/>
      <c r="P441" s="178"/>
      <c r="Q441" s="178"/>
      <c r="R441" s="177"/>
    </row>
    <row r="442" spans="3:18" ht="20.25">
      <c r="C442" s="154" t="s">
        <v>1040</v>
      </c>
      <c r="D442" s="645" t="s">
        <v>917</v>
      </c>
      <c r="E442" s="646"/>
      <c r="F442" s="646"/>
      <c r="G442" s="646"/>
      <c r="H442" s="646"/>
      <c r="I442" s="646"/>
      <c r="J442" s="646"/>
      <c r="K442" s="647"/>
      <c r="L442" s="641" t="s">
        <v>623</v>
      </c>
      <c r="M442" s="641"/>
      <c r="N442" s="641"/>
      <c r="O442" s="226"/>
      <c r="P442" s="296">
        <f>SUM(R445+R446+R451+R452+R453+R447+R454)+R448+R457</f>
        <v>1298.1600000000001</v>
      </c>
      <c r="Q442" s="183"/>
      <c r="R442" s="184" t="s">
        <v>9</v>
      </c>
    </row>
    <row r="443" spans="3:18" ht="20.25">
      <c r="C443" s="169"/>
      <c r="D443" s="155" t="s">
        <v>640</v>
      </c>
      <c r="E443" s="170"/>
      <c r="F443" s="170"/>
      <c r="G443" s="170"/>
      <c r="H443" s="170"/>
      <c r="I443" s="156" t="s">
        <v>645</v>
      </c>
      <c r="J443" s="161"/>
      <c r="K443" s="161"/>
      <c r="L443" s="156" t="s">
        <v>638</v>
      </c>
      <c r="M443" s="152"/>
      <c r="N443" s="156" t="s">
        <v>817</v>
      </c>
      <c r="O443" s="152"/>
      <c r="P443" s="156" t="s">
        <v>639</v>
      </c>
      <c r="Q443" s="153"/>
      <c r="R443" s="157" t="s">
        <v>626</v>
      </c>
    </row>
    <row r="444" spans="3:18" ht="20.25">
      <c r="C444" s="174"/>
      <c r="D444" s="654" t="s">
        <v>682</v>
      </c>
      <c r="E444" s="655"/>
      <c r="F444" s="655"/>
      <c r="G444" s="655"/>
      <c r="H444" s="655"/>
      <c r="I444" s="655"/>
      <c r="J444" s="655"/>
      <c r="K444" s="655"/>
      <c r="L444" s="655"/>
      <c r="M444" s="655"/>
      <c r="N444" s="655"/>
      <c r="O444" s="655"/>
      <c r="P444" s="655"/>
      <c r="Q444" s="655"/>
      <c r="R444" s="656"/>
    </row>
    <row r="445" spans="3:18" ht="20.25">
      <c r="C445" s="174"/>
      <c r="D445" s="176" t="s">
        <v>914</v>
      </c>
      <c r="E445" s="171"/>
      <c r="F445" s="175"/>
      <c r="G445" s="175"/>
      <c r="H445" s="175"/>
      <c r="I445" s="171"/>
      <c r="J445" s="176"/>
      <c r="K445" s="171"/>
      <c r="L445" s="177">
        <v>17</v>
      </c>
      <c r="M445" s="176"/>
      <c r="N445" s="177">
        <v>1.2</v>
      </c>
      <c r="O445" s="176"/>
      <c r="P445" s="178">
        <v>3.7</v>
      </c>
      <c r="Q445" s="178"/>
      <c r="R445" s="177">
        <f>L445*N445*P445-I445</f>
        <v>75.48</v>
      </c>
    </row>
    <row r="446" spans="3:18" ht="20.25">
      <c r="C446" s="174"/>
      <c r="D446" s="176" t="s">
        <v>824</v>
      </c>
      <c r="E446" s="171"/>
      <c r="F446" s="175"/>
      <c r="G446" s="175"/>
      <c r="H446" s="175"/>
      <c r="I446" s="171"/>
      <c r="J446" s="176"/>
      <c r="K446" s="171"/>
      <c r="L446" s="177">
        <v>2</v>
      </c>
      <c r="M446" s="176"/>
      <c r="N446" s="177">
        <v>53.55</v>
      </c>
      <c r="O446" s="176"/>
      <c r="P446" s="178">
        <v>1.1000000000000001</v>
      </c>
      <c r="Q446" s="178"/>
      <c r="R446" s="177">
        <f>L446*N446*P446-I446</f>
        <v>117.81</v>
      </c>
    </row>
    <row r="447" spans="3:18" ht="20.25">
      <c r="C447" s="174"/>
      <c r="D447" s="176" t="s">
        <v>915</v>
      </c>
      <c r="E447" s="171"/>
      <c r="F447" s="175"/>
      <c r="G447" s="175"/>
      <c r="H447" s="175"/>
      <c r="I447" s="171"/>
      <c r="J447" s="176"/>
      <c r="K447" s="171"/>
      <c r="L447" s="177"/>
      <c r="M447" s="176"/>
      <c r="N447" s="177">
        <v>24.5</v>
      </c>
      <c r="O447" s="176"/>
      <c r="P447" s="178">
        <v>3.7</v>
      </c>
      <c r="Q447" s="178"/>
      <c r="R447" s="177">
        <f>N447*P447</f>
        <v>90.65</v>
      </c>
    </row>
    <row r="448" spans="3:18" ht="20.25">
      <c r="C448" s="174"/>
      <c r="D448" s="176" t="s">
        <v>672</v>
      </c>
      <c r="E448" s="171"/>
      <c r="F448" s="175"/>
      <c r="G448" s="175"/>
      <c r="H448" s="175"/>
      <c r="I448" s="171"/>
      <c r="J448" s="176"/>
      <c r="K448" s="171"/>
      <c r="L448" s="177">
        <v>1</v>
      </c>
      <c r="M448" s="176"/>
      <c r="N448" s="177">
        <v>153</v>
      </c>
      <c r="O448" s="176"/>
      <c r="P448" s="178">
        <v>0.76</v>
      </c>
      <c r="Q448" s="178"/>
      <c r="R448" s="177">
        <f>N448*P448</f>
        <v>116.28</v>
      </c>
    </row>
    <row r="449" spans="3:18" ht="20.25">
      <c r="C449" s="174"/>
      <c r="D449" s="176"/>
      <c r="E449" s="171"/>
      <c r="F449" s="175"/>
      <c r="G449" s="175"/>
      <c r="H449" s="175"/>
      <c r="I449" s="175"/>
      <c r="J449" s="226"/>
      <c r="K449" s="184"/>
      <c r="L449" s="177"/>
      <c r="M449" s="176"/>
      <c r="N449" s="177"/>
      <c r="O449" s="176"/>
      <c r="P449" s="178"/>
      <c r="Q449" s="178"/>
      <c r="R449" s="177"/>
    </row>
    <row r="450" spans="3:18" ht="20.25">
      <c r="C450" s="174"/>
      <c r="D450" s="658" t="s">
        <v>650</v>
      </c>
      <c r="E450" s="659"/>
      <c r="F450" s="659"/>
      <c r="G450" s="659"/>
      <c r="H450" s="659"/>
      <c r="I450" s="659"/>
      <c r="J450" s="659"/>
      <c r="K450" s="659"/>
      <c r="L450" s="659"/>
      <c r="M450" s="659"/>
      <c r="N450" s="659"/>
      <c r="O450" s="659"/>
      <c r="P450" s="659"/>
      <c r="Q450" s="659"/>
      <c r="R450" s="660"/>
    </row>
    <row r="451" spans="3:18" ht="20.25">
      <c r="C451" s="174"/>
      <c r="D451" s="176" t="s">
        <v>914</v>
      </c>
      <c r="E451" s="171"/>
      <c r="F451" s="175"/>
      <c r="G451" s="175"/>
      <c r="H451" s="175"/>
      <c r="I451" s="171"/>
      <c r="J451" s="176"/>
      <c r="K451" s="171"/>
      <c r="L451" s="177">
        <v>17</v>
      </c>
      <c r="M451" s="176"/>
      <c r="N451" s="177">
        <v>1.2</v>
      </c>
      <c r="O451" s="176"/>
      <c r="P451" s="178">
        <v>2.8</v>
      </c>
      <c r="Q451" s="178"/>
      <c r="R451" s="177">
        <f>L451*N451*P451-I451</f>
        <v>57.11999999999999</v>
      </c>
    </row>
    <row r="452" spans="3:18" ht="20.25">
      <c r="C452" s="174"/>
      <c r="D452" s="176" t="s">
        <v>824</v>
      </c>
      <c r="E452" s="171"/>
      <c r="F452" s="175"/>
      <c r="G452" s="175"/>
      <c r="H452" s="175"/>
      <c r="I452" s="171"/>
      <c r="J452" s="176"/>
      <c r="K452" s="171"/>
      <c r="L452" s="177">
        <v>2</v>
      </c>
      <c r="M452" s="176"/>
      <c r="N452" s="177">
        <v>64.099999999999994</v>
      </c>
      <c r="O452" s="176"/>
      <c r="P452" s="178">
        <v>1.1000000000000001</v>
      </c>
      <c r="Q452" s="178"/>
      <c r="R452" s="177">
        <f>L452*N452*P452-I452</f>
        <v>141.02000000000001</v>
      </c>
    </row>
    <row r="453" spans="3:18" ht="20.25">
      <c r="C453" s="174"/>
      <c r="D453" s="176" t="s">
        <v>825</v>
      </c>
      <c r="E453" s="171"/>
      <c r="F453" s="175"/>
      <c r="G453" s="175"/>
      <c r="H453" s="175"/>
      <c r="I453" s="171"/>
      <c r="J453" s="176"/>
      <c r="K453" s="171"/>
      <c r="L453" s="177">
        <v>2</v>
      </c>
      <c r="M453" s="176"/>
      <c r="N453" s="177">
        <v>60</v>
      </c>
      <c r="O453" s="176"/>
      <c r="P453" s="178">
        <v>1.1000000000000001</v>
      </c>
      <c r="Q453" s="178"/>
      <c r="R453" s="177">
        <f>L453*N453*P453-I453</f>
        <v>132</v>
      </c>
    </row>
    <row r="454" spans="3:18" ht="20.25">
      <c r="C454" s="174"/>
      <c r="D454" s="176" t="s">
        <v>915</v>
      </c>
      <c r="E454" s="171"/>
      <c r="F454" s="175"/>
      <c r="G454" s="175"/>
      <c r="H454" s="175"/>
      <c r="I454" s="171"/>
      <c r="J454" s="176"/>
      <c r="K454" s="171"/>
      <c r="L454" s="177"/>
      <c r="M454" s="176"/>
      <c r="N454" s="177">
        <v>24.5</v>
      </c>
      <c r="O454" s="176"/>
      <c r="P454" s="178">
        <v>2.8</v>
      </c>
      <c r="Q454" s="178"/>
      <c r="R454" s="177">
        <f>N454*P454</f>
        <v>68.599999999999994</v>
      </c>
    </row>
    <row r="455" spans="3:18" ht="20.25">
      <c r="C455" s="169"/>
      <c r="D455" s="164"/>
      <c r="E455" s="162"/>
      <c r="F455" s="172"/>
      <c r="G455" s="172"/>
      <c r="H455" s="172"/>
      <c r="I455" s="172"/>
      <c r="J455" s="164"/>
      <c r="K455" s="162"/>
      <c r="L455" s="163"/>
      <c r="M455" s="164"/>
      <c r="N455" s="163"/>
      <c r="O455" s="164"/>
      <c r="P455" s="173"/>
      <c r="Q455" s="173"/>
      <c r="R455" s="163"/>
    </row>
    <row r="456" spans="3:18" s="221" customFormat="1" ht="20.25">
      <c r="C456" s="174"/>
      <c r="D456" s="642" t="s">
        <v>651</v>
      </c>
      <c r="E456" s="643"/>
      <c r="F456" s="643"/>
      <c r="G456" s="643"/>
      <c r="H456" s="643"/>
      <c r="I456" s="643"/>
      <c r="J456" s="643"/>
      <c r="K456" s="643"/>
      <c r="L456" s="643"/>
      <c r="M456" s="643"/>
      <c r="N456" s="643"/>
      <c r="O456" s="643"/>
      <c r="P456" s="643"/>
      <c r="Q456" s="643"/>
      <c r="R456" s="644"/>
    </row>
    <row r="457" spans="3:18" s="221" customFormat="1" ht="20.25">
      <c r="C457" s="174"/>
      <c r="D457" s="158" t="s">
        <v>1096</v>
      </c>
      <c r="E457" s="340"/>
      <c r="F457" s="340"/>
      <c r="G457" s="340"/>
      <c r="H457" s="340"/>
      <c r="I457" s="176"/>
      <c r="J457" s="340"/>
      <c r="K457" s="340"/>
      <c r="L457" s="177">
        <v>1</v>
      </c>
      <c r="M457" s="176"/>
      <c r="N457" s="177">
        <v>156</v>
      </c>
      <c r="O457" s="176"/>
      <c r="P457" s="178">
        <v>3.2</v>
      </c>
      <c r="Q457" s="178"/>
      <c r="R457" s="177">
        <f>L457*N457*P457</f>
        <v>499.20000000000005</v>
      </c>
    </row>
    <row r="458" spans="3:18" s="221" customFormat="1" ht="20.25">
      <c r="C458" s="174"/>
      <c r="D458" s="158"/>
      <c r="E458" s="340"/>
      <c r="F458" s="340"/>
      <c r="G458" s="340"/>
      <c r="H458" s="340"/>
      <c r="I458" s="176"/>
      <c r="J458" s="340"/>
      <c r="K458" s="340"/>
      <c r="L458" s="177"/>
      <c r="M458" s="176"/>
      <c r="N458" s="177"/>
      <c r="O458" s="176"/>
      <c r="P458" s="178"/>
      <c r="Q458" s="178"/>
      <c r="R458" s="177"/>
    </row>
    <row r="459" spans="3:18" ht="20.25">
      <c r="C459" s="169" t="s">
        <v>1041</v>
      </c>
      <c r="D459" s="661" t="s">
        <v>234</v>
      </c>
      <c r="E459" s="659"/>
      <c r="F459" s="659"/>
      <c r="G459" s="659"/>
      <c r="H459" s="659"/>
      <c r="I459" s="659"/>
      <c r="J459" s="659"/>
      <c r="K459" s="660"/>
      <c r="L459" s="636" t="s">
        <v>623</v>
      </c>
      <c r="M459" s="636"/>
      <c r="N459" s="636"/>
      <c r="O459" s="152"/>
      <c r="P459" s="153">
        <f>R462+R463+R464+R468+R469+R470+R471+R465+R473</f>
        <v>1298.1600000000001</v>
      </c>
      <c r="Q459" s="153"/>
      <c r="R459" s="154" t="s">
        <v>9</v>
      </c>
    </row>
    <row r="460" spans="3:18" ht="20.25">
      <c r="C460" s="169"/>
      <c r="D460" s="155" t="s">
        <v>640</v>
      </c>
      <c r="E460" s="170"/>
      <c r="F460" s="170"/>
      <c r="G460" s="170"/>
      <c r="H460" s="170"/>
      <c r="I460" s="156" t="s">
        <v>645</v>
      </c>
      <c r="J460" s="161"/>
      <c r="K460" s="161"/>
      <c r="L460" s="156" t="s">
        <v>638</v>
      </c>
      <c r="M460" s="152"/>
      <c r="N460" s="156" t="s">
        <v>817</v>
      </c>
      <c r="O460" s="152"/>
      <c r="P460" s="156" t="s">
        <v>639</v>
      </c>
      <c r="Q460" s="153"/>
      <c r="R460" s="157" t="s">
        <v>626</v>
      </c>
    </row>
    <row r="461" spans="3:18" ht="20.25">
      <c r="C461" s="174"/>
      <c r="D461" s="654" t="s">
        <v>682</v>
      </c>
      <c r="E461" s="655"/>
      <c r="F461" s="655"/>
      <c r="G461" s="655"/>
      <c r="H461" s="655"/>
      <c r="I461" s="655"/>
      <c r="J461" s="655"/>
      <c r="K461" s="655"/>
      <c r="L461" s="655"/>
      <c r="M461" s="655"/>
      <c r="N461" s="655"/>
      <c r="O461" s="655"/>
      <c r="P461" s="655"/>
      <c r="Q461" s="655"/>
      <c r="R461" s="656"/>
    </row>
    <row r="462" spans="3:18" ht="20.25">
      <c r="C462" s="174"/>
      <c r="D462" s="176" t="s">
        <v>914</v>
      </c>
      <c r="E462" s="171"/>
      <c r="F462" s="175"/>
      <c r="G462" s="175"/>
      <c r="H462" s="175"/>
      <c r="I462" s="171"/>
      <c r="J462" s="176"/>
      <c r="K462" s="171"/>
      <c r="L462" s="177">
        <v>17</v>
      </c>
      <c r="M462" s="176"/>
      <c r="N462" s="177">
        <v>1.2</v>
      </c>
      <c r="O462" s="176"/>
      <c r="P462" s="178">
        <v>3.7</v>
      </c>
      <c r="Q462" s="178"/>
      <c r="R462" s="177">
        <f>L462*N462*P462-I462</f>
        <v>75.48</v>
      </c>
    </row>
    <row r="463" spans="3:18" ht="20.25">
      <c r="C463" s="174"/>
      <c r="D463" s="176" t="s">
        <v>824</v>
      </c>
      <c r="E463" s="171"/>
      <c r="F463" s="175"/>
      <c r="G463" s="175"/>
      <c r="H463" s="175"/>
      <c r="I463" s="171"/>
      <c r="J463" s="176"/>
      <c r="K463" s="171"/>
      <c r="L463" s="177">
        <v>2</v>
      </c>
      <c r="M463" s="176"/>
      <c r="N463" s="177">
        <v>53.55</v>
      </c>
      <c r="O463" s="176"/>
      <c r="P463" s="178">
        <v>1.1000000000000001</v>
      </c>
      <c r="Q463" s="178"/>
      <c r="R463" s="177">
        <f>L463*N463*P463-I463</f>
        <v>117.81</v>
      </c>
    </row>
    <row r="464" spans="3:18" ht="20.25">
      <c r="C464" s="174"/>
      <c r="D464" s="176" t="s">
        <v>915</v>
      </c>
      <c r="E464" s="171"/>
      <c r="F464" s="175"/>
      <c r="G464" s="175"/>
      <c r="H464" s="175"/>
      <c r="I464" s="171"/>
      <c r="J464" s="176"/>
      <c r="K464" s="171"/>
      <c r="L464" s="177"/>
      <c r="M464" s="176"/>
      <c r="N464" s="177">
        <v>24.5</v>
      </c>
      <c r="O464" s="176"/>
      <c r="P464" s="178">
        <v>3.7</v>
      </c>
      <c r="Q464" s="178"/>
      <c r="R464" s="177">
        <f>N464*P464</f>
        <v>90.65</v>
      </c>
    </row>
    <row r="465" spans="3:18" ht="20.25">
      <c r="C465" s="174"/>
      <c r="D465" s="176" t="s">
        <v>672</v>
      </c>
      <c r="E465" s="171"/>
      <c r="F465" s="175"/>
      <c r="G465" s="175"/>
      <c r="H465" s="175"/>
      <c r="I465" s="171"/>
      <c r="J465" s="176"/>
      <c r="K465" s="171"/>
      <c r="L465" s="177">
        <v>1</v>
      </c>
      <c r="M465" s="176"/>
      <c r="N465" s="177">
        <v>153</v>
      </c>
      <c r="O465" s="176"/>
      <c r="P465" s="178">
        <v>0.76</v>
      </c>
      <c r="Q465" s="178"/>
      <c r="R465" s="177">
        <f>N465*P465</f>
        <v>116.28</v>
      </c>
    </row>
    <row r="466" spans="3:18" ht="20.25">
      <c r="C466" s="174"/>
      <c r="D466" s="176"/>
      <c r="E466" s="171"/>
      <c r="F466" s="175"/>
      <c r="G466" s="175"/>
      <c r="H466" s="175"/>
      <c r="I466" s="175"/>
      <c r="J466" s="226"/>
      <c r="K466" s="184"/>
      <c r="L466" s="177"/>
      <c r="M466" s="176"/>
      <c r="N466" s="177"/>
      <c r="O466" s="176"/>
      <c r="P466" s="178"/>
      <c r="Q466" s="178"/>
      <c r="R466" s="177"/>
    </row>
    <row r="467" spans="3:18" ht="20.25">
      <c r="C467" s="174"/>
      <c r="D467" s="658" t="s">
        <v>650</v>
      </c>
      <c r="E467" s="659"/>
      <c r="F467" s="659"/>
      <c r="G467" s="659"/>
      <c r="H467" s="659"/>
      <c r="I467" s="659"/>
      <c r="J467" s="659"/>
      <c r="K467" s="659"/>
      <c r="L467" s="659"/>
      <c r="M467" s="659"/>
      <c r="N467" s="659"/>
      <c r="O467" s="659"/>
      <c r="P467" s="659"/>
      <c r="Q467" s="659"/>
      <c r="R467" s="660"/>
    </row>
    <row r="468" spans="3:18" ht="20.25">
      <c r="C468" s="174"/>
      <c r="D468" s="176" t="s">
        <v>914</v>
      </c>
      <c r="E468" s="171"/>
      <c r="F468" s="175"/>
      <c r="G468" s="175"/>
      <c r="H468" s="175"/>
      <c r="I468" s="171"/>
      <c r="J468" s="176"/>
      <c r="K468" s="171"/>
      <c r="L468" s="177">
        <v>17</v>
      </c>
      <c r="M468" s="176"/>
      <c r="N468" s="177">
        <v>1.2</v>
      </c>
      <c r="O468" s="176"/>
      <c r="P468" s="178">
        <v>2.8</v>
      </c>
      <c r="Q468" s="178"/>
      <c r="R468" s="177">
        <f>L468*N468*P468-I468</f>
        <v>57.11999999999999</v>
      </c>
    </row>
    <row r="469" spans="3:18" ht="20.25">
      <c r="C469" s="174"/>
      <c r="D469" s="176" t="s">
        <v>824</v>
      </c>
      <c r="E469" s="171"/>
      <c r="F469" s="175"/>
      <c r="G469" s="175"/>
      <c r="H469" s="175"/>
      <c r="I469" s="171"/>
      <c r="J469" s="176"/>
      <c r="K469" s="171"/>
      <c r="L469" s="177">
        <v>2</v>
      </c>
      <c r="M469" s="176"/>
      <c r="N469" s="177">
        <v>64.099999999999994</v>
      </c>
      <c r="O469" s="176"/>
      <c r="P469" s="178">
        <v>1.1000000000000001</v>
      </c>
      <c r="Q469" s="178"/>
      <c r="R469" s="177">
        <f>L469*N469*P469-I469</f>
        <v>141.02000000000001</v>
      </c>
    </row>
    <row r="470" spans="3:18" ht="20.25">
      <c r="C470" s="174"/>
      <c r="D470" s="176" t="s">
        <v>825</v>
      </c>
      <c r="E470" s="171"/>
      <c r="F470" s="175"/>
      <c r="G470" s="175"/>
      <c r="H470" s="175"/>
      <c r="I470" s="171"/>
      <c r="J470" s="176"/>
      <c r="K470" s="171"/>
      <c r="L470" s="177">
        <v>2</v>
      </c>
      <c r="M470" s="176"/>
      <c r="N470" s="177">
        <v>60</v>
      </c>
      <c r="O470" s="176"/>
      <c r="P470" s="178">
        <v>1.1000000000000001</v>
      </c>
      <c r="Q470" s="178"/>
      <c r="R470" s="177">
        <f>L470*N470*P470-I470</f>
        <v>132</v>
      </c>
    </row>
    <row r="471" spans="3:18" ht="20.25">
      <c r="C471" s="174"/>
      <c r="D471" s="176" t="s">
        <v>915</v>
      </c>
      <c r="E471" s="171"/>
      <c r="F471" s="175"/>
      <c r="G471" s="175"/>
      <c r="H471" s="175"/>
      <c r="I471" s="171"/>
      <c r="J471" s="176"/>
      <c r="K471" s="171"/>
      <c r="L471" s="177"/>
      <c r="M471" s="176"/>
      <c r="N471" s="177">
        <v>24.5</v>
      </c>
      <c r="O471" s="176"/>
      <c r="P471" s="178">
        <v>2.8</v>
      </c>
      <c r="Q471" s="178"/>
      <c r="R471" s="177">
        <f>N471*P471</f>
        <v>68.599999999999994</v>
      </c>
    </row>
    <row r="472" spans="3:18" s="221" customFormat="1" ht="20.25">
      <c r="C472" s="174"/>
      <c r="D472" s="642" t="s">
        <v>651</v>
      </c>
      <c r="E472" s="643"/>
      <c r="F472" s="643"/>
      <c r="G472" s="643"/>
      <c r="H472" s="643"/>
      <c r="I472" s="643"/>
      <c r="J472" s="643"/>
      <c r="K472" s="643"/>
      <c r="L472" s="643"/>
      <c r="M472" s="643"/>
      <c r="N472" s="643"/>
      <c r="O472" s="643"/>
      <c r="P472" s="643"/>
      <c r="Q472" s="643"/>
      <c r="R472" s="644"/>
    </row>
    <row r="473" spans="3:18" s="221" customFormat="1" ht="20.25">
      <c r="C473" s="174"/>
      <c r="D473" s="158" t="s">
        <v>1096</v>
      </c>
      <c r="E473" s="340"/>
      <c r="F473" s="340"/>
      <c r="G473" s="340"/>
      <c r="H473" s="340"/>
      <c r="I473" s="176"/>
      <c r="J473" s="340"/>
      <c r="K473" s="340"/>
      <c r="L473" s="177">
        <v>1</v>
      </c>
      <c r="M473" s="176"/>
      <c r="N473" s="177">
        <v>156</v>
      </c>
      <c r="O473" s="176"/>
      <c r="P473" s="178">
        <v>3.2</v>
      </c>
      <c r="Q473" s="178"/>
      <c r="R473" s="177">
        <f>L473*N473*P473</f>
        <v>499.20000000000005</v>
      </c>
    </row>
    <row r="474" spans="3:18" s="221" customFormat="1" ht="20.25">
      <c r="C474" s="174"/>
      <c r="D474" s="158"/>
      <c r="E474" s="340"/>
      <c r="F474" s="340"/>
      <c r="G474" s="340"/>
      <c r="H474" s="340"/>
      <c r="I474" s="176"/>
      <c r="J474" s="340"/>
      <c r="K474" s="340"/>
      <c r="L474" s="177"/>
      <c r="M474" s="176"/>
      <c r="N474" s="177"/>
      <c r="O474" s="176"/>
      <c r="P474" s="178"/>
      <c r="Q474" s="178"/>
      <c r="R474" s="177"/>
    </row>
    <row r="475" spans="3:18" ht="20.25">
      <c r="C475" s="169"/>
      <c r="D475" s="164"/>
      <c r="E475" s="162"/>
      <c r="F475" s="172"/>
      <c r="G475" s="172"/>
      <c r="H475" s="172"/>
      <c r="I475" s="172"/>
      <c r="J475" s="164"/>
      <c r="K475" s="162"/>
      <c r="L475" s="163"/>
      <c r="M475" s="164"/>
      <c r="N475" s="163"/>
      <c r="O475" s="164"/>
      <c r="P475" s="173"/>
      <c r="Q475" s="173"/>
      <c r="R475" s="163"/>
    </row>
    <row r="476" spans="3:18" ht="39.75" customHeight="1">
      <c r="C476" s="169" t="s">
        <v>1042</v>
      </c>
      <c r="D476" s="661" t="s">
        <v>444</v>
      </c>
      <c r="E476" s="659"/>
      <c r="F476" s="659"/>
      <c r="G476" s="659"/>
      <c r="H476" s="659"/>
      <c r="I476" s="659"/>
      <c r="J476" s="659"/>
      <c r="K476" s="660"/>
      <c r="L476" s="636" t="s">
        <v>623</v>
      </c>
      <c r="M476" s="636"/>
      <c r="N476" s="636"/>
      <c r="O476" s="152"/>
      <c r="P476" s="159">
        <f>SUM(R478:R479)</f>
        <v>30.7608</v>
      </c>
      <c r="Q476" s="153"/>
      <c r="R476" s="154" t="s">
        <v>9</v>
      </c>
    </row>
    <row r="477" spans="3:18" ht="20.25">
      <c r="C477" s="169"/>
      <c r="D477" s="155" t="s">
        <v>640</v>
      </c>
      <c r="E477" s="192"/>
      <c r="F477" s="192"/>
      <c r="G477" s="192"/>
      <c r="H477" s="192"/>
      <c r="I477" s="155"/>
      <c r="J477" s="155"/>
      <c r="K477" s="298" t="s">
        <v>920</v>
      </c>
      <c r="L477" s="156" t="s">
        <v>921</v>
      </c>
      <c r="M477" s="156"/>
      <c r="N477" s="299" t="s">
        <v>817</v>
      </c>
      <c r="O477" s="156"/>
      <c r="P477" s="157" t="s">
        <v>868</v>
      </c>
      <c r="Q477" s="300"/>
      <c r="R477" s="157" t="s">
        <v>811</v>
      </c>
    </row>
    <row r="478" spans="3:18" ht="20.25">
      <c r="C478" s="169"/>
      <c r="D478" s="155" t="s">
        <v>922</v>
      </c>
      <c r="E478" s="192"/>
      <c r="F478" s="192"/>
      <c r="G478" s="192"/>
      <c r="H478" s="192"/>
      <c r="I478" s="155"/>
      <c r="J478" s="155"/>
      <c r="K478" s="155">
        <v>2</v>
      </c>
      <c r="L478" s="164">
        <v>4</v>
      </c>
      <c r="M478" s="164"/>
      <c r="N478" s="301">
        <f>(L478/100)*3.141</f>
        <v>0.12564</v>
      </c>
      <c r="O478" s="164"/>
      <c r="P478" s="162">
        <v>110</v>
      </c>
      <c r="Q478" s="173"/>
      <c r="R478" s="164">
        <f>N478*P478*K478</f>
        <v>27.640799999999999</v>
      </c>
    </row>
    <row r="479" spans="3:18" ht="20.25">
      <c r="C479" s="169"/>
      <c r="D479" s="155" t="s">
        <v>923</v>
      </c>
      <c r="E479" s="192"/>
      <c r="F479" s="192"/>
      <c r="G479" s="192"/>
      <c r="H479" s="192"/>
      <c r="I479" s="155"/>
      <c r="J479" s="155"/>
      <c r="K479" s="155">
        <v>1</v>
      </c>
      <c r="L479" s="164">
        <v>4</v>
      </c>
      <c r="M479" s="164"/>
      <c r="N479" s="301">
        <v>0.13</v>
      </c>
      <c r="O479" s="164"/>
      <c r="P479" s="162">
        <v>24</v>
      </c>
      <c r="Q479" s="173"/>
      <c r="R479" s="164">
        <f>N479*P479*K479</f>
        <v>3.12</v>
      </c>
    </row>
    <row r="480" spans="3:18" ht="20.25">
      <c r="C480" s="169"/>
      <c r="D480" s="155"/>
      <c r="E480" s="192"/>
      <c r="F480" s="192"/>
      <c r="G480" s="192"/>
      <c r="H480" s="192"/>
      <c r="I480" s="155"/>
      <c r="J480" s="155"/>
      <c r="K480" s="155"/>
      <c r="L480" s="164"/>
      <c r="M480" s="164"/>
      <c r="N480" s="301"/>
      <c r="O480" s="164"/>
      <c r="P480" s="162"/>
      <c r="Q480" s="173"/>
      <c r="R480" s="164"/>
    </row>
    <row r="481" spans="3:18" ht="20.25">
      <c r="C481" s="168" t="s">
        <v>196</v>
      </c>
      <c r="D481" s="657" t="s">
        <v>7</v>
      </c>
      <c r="E481" s="657"/>
      <c r="F481" s="657"/>
      <c r="G481" s="657"/>
      <c r="H481" s="657"/>
      <c r="I481" s="657"/>
      <c r="J481" s="657"/>
      <c r="K481" s="657"/>
      <c r="L481" s="657"/>
      <c r="M481" s="657"/>
      <c r="N481" s="657"/>
      <c r="O481" s="657"/>
      <c r="P481" s="657"/>
      <c r="Q481" s="657"/>
      <c r="R481" s="657"/>
    </row>
    <row r="482" spans="3:18" ht="20.25">
      <c r="C482" s="174" t="s">
        <v>871</v>
      </c>
      <c r="D482" s="637" t="s">
        <v>405</v>
      </c>
      <c r="E482" s="637"/>
      <c r="F482" s="637"/>
      <c r="G482" s="637"/>
      <c r="H482" s="637"/>
      <c r="I482" s="637"/>
      <c r="J482" s="637"/>
      <c r="K482" s="637"/>
      <c r="L482" s="636" t="s">
        <v>623</v>
      </c>
      <c r="M482" s="636"/>
      <c r="N482" s="636"/>
      <c r="O482" s="152"/>
      <c r="P482" s="153">
        <f>SUM(R485:R486)</f>
        <v>2.8050000000000006</v>
      </c>
      <c r="Q482" s="153"/>
      <c r="R482" s="154" t="s">
        <v>9</v>
      </c>
    </row>
    <row r="483" spans="3:18" ht="20.25">
      <c r="C483" s="174"/>
      <c r="D483" s="194" t="s">
        <v>640</v>
      </c>
      <c r="E483" s="170"/>
      <c r="F483" s="170"/>
      <c r="G483" s="170"/>
      <c r="H483" s="170"/>
      <c r="I483" s="170"/>
      <c r="J483" s="170"/>
      <c r="K483" s="170"/>
      <c r="L483" s="152"/>
      <c r="M483" s="152"/>
      <c r="N483" s="156" t="s">
        <v>624</v>
      </c>
      <c r="O483" s="152"/>
      <c r="P483" s="156" t="s">
        <v>625</v>
      </c>
      <c r="Q483" s="153"/>
      <c r="R483" s="157" t="s">
        <v>626</v>
      </c>
    </row>
    <row r="484" spans="3:18" ht="20.25">
      <c r="C484" s="174"/>
      <c r="D484" s="645" t="s">
        <v>682</v>
      </c>
      <c r="E484" s="646"/>
      <c r="F484" s="646"/>
      <c r="G484" s="646"/>
      <c r="H484" s="646"/>
      <c r="I484" s="646"/>
      <c r="J484" s="646"/>
      <c r="K484" s="646"/>
      <c r="L484" s="646"/>
      <c r="M484" s="646"/>
      <c r="N484" s="646"/>
      <c r="O484" s="646"/>
      <c r="P484" s="646"/>
      <c r="Q484" s="646"/>
      <c r="R484" s="647"/>
    </row>
    <row r="485" spans="3:18" ht="20.25">
      <c r="C485" s="174"/>
      <c r="D485" s="194" t="s">
        <v>961</v>
      </c>
      <c r="E485" s="193"/>
      <c r="F485" s="170"/>
      <c r="G485" s="170"/>
      <c r="H485" s="170"/>
      <c r="I485" s="170"/>
      <c r="J485" s="170"/>
      <c r="K485" s="170"/>
      <c r="L485" s="152"/>
      <c r="M485" s="152"/>
      <c r="N485" s="164">
        <v>0.55000000000000004</v>
      </c>
      <c r="O485" s="152"/>
      <c r="P485" s="173">
        <v>3</v>
      </c>
      <c r="Q485" s="153"/>
      <c r="R485" s="162">
        <f>N485*P485</f>
        <v>1.6500000000000001</v>
      </c>
    </row>
    <row r="486" spans="3:18" ht="20.25">
      <c r="C486" s="174"/>
      <c r="D486" s="194"/>
      <c r="E486" s="193"/>
      <c r="F486" s="170"/>
      <c r="G486" s="170"/>
      <c r="H486" s="170"/>
      <c r="I486" s="170"/>
      <c r="J486" s="170"/>
      <c r="K486" s="170"/>
      <c r="L486" s="152"/>
      <c r="M486" s="152"/>
      <c r="N486" s="164">
        <v>0.55000000000000004</v>
      </c>
      <c r="O486" s="152"/>
      <c r="P486" s="173">
        <v>2.1</v>
      </c>
      <c r="Q486" s="153"/>
      <c r="R486" s="162">
        <f>N486*P486</f>
        <v>1.1550000000000002</v>
      </c>
    </row>
    <row r="487" spans="3:18" ht="56.25" customHeight="1">
      <c r="C487" s="174" t="s">
        <v>872</v>
      </c>
      <c r="D487" s="637" t="s">
        <v>962</v>
      </c>
      <c r="E487" s="637"/>
      <c r="F487" s="637"/>
      <c r="G487" s="637"/>
      <c r="H487" s="637"/>
      <c r="I487" s="637"/>
      <c r="J487" s="637"/>
      <c r="K487" s="637"/>
      <c r="L487" s="636" t="s">
        <v>623</v>
      </c>
      <c r="M487" s="636"/>
      <c r="N487" s="636"/>
      <c r="O487" s="152"/>
      <c r="P487" s="153">
        <f>R490</f>
        <v>2</v>
      </c>
      <c r="Q487" s="153"/>
      <c r="R487" s="154" t="s">
        <v>463</v>
      </c>
    </row>
    <row r="488" spans="3:18" ht="20.25">
      <c r="C488" s="174"/>
      <c r="D488" s="194" t="s">
        <v>640</v>
      </c>
      <c r="E488" s="170"/>
      <c r="F488" s="170"/>
      <c r="G488" s="170"/>
      <c r="H488" s="170"/>
      <c r="I488" s="170"/>
      <c r="J488" s="170"/>
      <c r="K488" s="170"/>
      <c r="L488" s="152"/>
      <c r="M488" s="152"/>
      <c r="N488" s="156"/>
      <c r="O488" s="152"/>
      <c r="P488" s="156"/>
      <c r="Q488" s="153"/>
      <c r="R488" s="157" t="s">
        <v>10</v>
      </c>
    </row>
    <row r="489" spans="3:18" ht="20.25">
      <c r="C489" s="174"/>
      <c r="D489" s="645" t="s">
        <v>682</v>
      </c>
      <c r="E489" s="646"/>
      <c r="F489" s="646"/>
      <c r="G489" s="646"/>
      <c r="H489" s="646"/>
      <c r="I489" s="646"/>
      <c r="J489" s="646"/>
      <c r="K489" s="646"/>
      <c r="L489" s="646"/>
      <c r="M489" s="646"/>
      <c r="N489" s="646"/>
      <c r="O489" s="646"/>
      <c r="P489" s="646"/>
      <c r="Q489" s="646"/>
      <c r="R489" s="647"/>
    </row>
    <row r="490" spans="3:18" ht="20.25">
      <c r="C490" s="174"/>
      <c r="D490" s="194" t="s">
        <v>963</v>
      </c>
      <c r="E490" s="193"/>
      <c r="F490" s="170"/>
      <c r="G490" s="170"/>
      <c r="H490" s="170"/>
      <c r="I490" s="170"/>
      <c r="J490" s="170"/>
      <c r="K490" s="170"/>
      <c r="L490" s="152"/>
      <c r="M490" s="152"/>
      <c r="N490" s="164"/>
      <c r="O490" s="152"/>
      <c r="P490" s="173"/>
      <c r="Q490" s="153"/>
      <c r="R490" s="162">
        <v>2</v>
      </c>
    </row>
    <row r="491" spans="3:18" ht="20.25">
      <c r="C491" s="174"/>
      <c r="D491" s="194"/>
      <c r="E491" s="193"/>
      <c r="F491" s="170"/>
      <c r="G491" s="170"/>
      <c r="H491" s="170"/>
      <c r="I491" s="170"/>
      <c r="J491" s="170"/>
      <c r="K491" s="170"/>
      <c r="L491" s="152"/>
      <c r="M491" s="152"/>
      <c r="N491" s="164"/>
      <c r="O491" s="152"/>
      <c r="P491" s="173"/>
      <c r="Q491" s="153"/>
      <c r="R491" s="162"/>
    </row>
    <row r="492" spans="3:18" ht="20.25">
      <c r="C492" s="174" t="s">
        <v>873</v>
      </c>
      <c r="D492" s="637" t="s">
        <v>235</v>
      </c>
      <c r="E492" s="637"/>
      <c r="F492" s="637"/>
      <c r="G492" s="637"/>
      <c r="H492" s="637"/>
      <c r="I492" s="637"/>
      <c r="J492" s="637"/>
      <c r="K492" s="637"/>
      <c r="L492" s="636" t="s">
        <v>623</v>
      </c>
      <c r="M492" s="636"/>
      <c r="N492" s="636"/>
      <c r="O492" s="152"/>
      <c r="P492" s="153">
        <f>R495</f>
        <v>4</v>
      </c>
      <c r="Q492" s="153"/>
      <c r="R492" s="154" t="s">
        <v>463</v>
      </c>
    </row>
    <row r="493" spans="3:18" ht="20.25">
      <c r="C493" s="174"/>
      <c r="D493" s="194" t="s">
        <v>640</v>
      </c>
      <c r="E493" s="170"/>
      <c r="F493" s="170"/>
      <c r="G493" s="170"/>
      <c r="H493" s="170"/>
      <c r="I493" s="170"/>
      <c r="J493" s="170"/>
      <c r="K493" s="170"/>
      <c r="L493" s="152"/>
      <c r="M493" s="152"/>
      <c r="N493" s="156"/>
      <c r="O493" s="152"/>
      <c r="P493" s="156"/>
      <c r="Q493" s="153"/>
      <c r="R493" s="157" t="s">
        <v>10</v>
      </c>
    </row>
    <row r="494" spans="3:18" ht="20.25">
      <c r="C494" s="174"/>
      <c r="D494" s="645" t="s">
        <v>682</v>
      </c>
      <c r="E494" s="646"/>
      <c r="F494" s="646"/>
      <c r="G494" s="646"/>
      <c r="H494" s="646"/>
      <c r="I494" s="646"/>
      <c r="J494" s="646"/>
      <c r="K494" s="646"/>
      <c r="L494" s="646"/>
      <c r="M494" s="646"/>
      <c r="N494" s="646"/>
      <c r="O494" s="646"/>
      <c r="P494" s="646"/>
      <c r="Q494" s="646"/>
      <c r="R494" s="647"/>
    </row>
    <row r="495" spans="3:18" ht="20.25">
      <c r="C495" s="174"/>
      <c r="D495" s="194" t="s">
        <v>961</v>
      </c>
      <c r="E495" s="193"/>
      <c r="F495" s="170"/>
      <c r="G495" s="170"/>
      <c r="H495" s="170"/>
      <c r="I495" s="170"/>
      <c r="J495" s="170"/>
      <c r="K495" s="170"/>
      <c r="L495" s="152"/>
      <c r="M495" s="152"/>
      <c r="N495" s="164"/>
      <c r="O495" s="152"/>
      <c r="P495" s="173"/>
      <c r="Q495" s="153"/>
      <c r="R495" s="162">
        <v>4</v>
      </c>
    </row>
    <row r="496" spans="3:18" ht="20.25">
      <c r="C496" s="174"/>
      <c r="D496" s="194"/>
      <c r="E496" s="170"/>
      <c r="F496" s="170"/>
      <c r="G496" s="170"/>
      <c r="H496" s="170"/>
      <c r="I496" s="170"/>
      <c r="J496" s="170"/>
      <c r="K496" s="170"/>
      <c r="L496" s="152"/>
      <c r="M496" s="152"/>
      <c r="N496" s="152"/>
      <c r="O496" s="152"/>
      <c r="P496" s="153"/>
      <c r="Q496" s="153"/>
      <c r="R496" s="162"/>
    </row>
    <row r="497" spans="3:18" ht="20.25" customHeight="1">
      <c r="C497" s="174" t="s">
        <v>908</v>
      </c>
      <c r="D497" s="645" t="s">
        <v>401</v>
      </c>
      <c r="E497" s="646"/>
      <c r="F497" s="646"/>
      <c r="G497" s="646"/>
      <c r="H497" s="646"/>
      <c r="I497" s="646"/>
      <c r="J497" s="646"/>
      <c r="K497" s="647"/>
      <c r="L497" s="651" t="s">
        <v>623</v>
      </c>
      <c r="M497" s="652"/>
      <c r="N497" s="653"/>
      <c r="O497" s="152"/>
      <c r="P497" s="153">
        <f>R500</f>
        <v>4</v>
      </c>
      <c r="Q497" s="153"/>
      <c r="R497" s="154" t="s">
        <v>463</v>
      </c>
    </row>
    <row r="498" spans="3:18" ht="20.25">
      <c r="C498" s="174"/>
      <c r="D498" s="194" t="s">
        <v>640</v>
      </c>
      <c r="E498" s="170"/>
      <c r="F498" s="170"/>
      <c r="G498" s="170"/>
      <c r="H498" s="170"/>
      <c r="I498" s="170"/>
      <c r="J498" s="170"/>
      <c r="K498" s="170"/>
      <c r="L498" s="152"/>
      <c r="M498" s="152"/>
      <c r="N498" s="156"/>
      <c r="O498" s="152"/>
      <c r="P498" s="156"/>
      <c r="Q498" s="153"/>
      <c r="R498" s="157" t="s">
        <v>10</v>
      </c>
    </row>
    <row r="499" spans="3:18" ht="20.25">
      <c r="C499" s="174"/>
      <c r="D499" s="645" t="s">
        <v>682</v>
      </c>
      <c r="E499" s="646"/>
      <c r="F499" s="646"/>
      <c r="G499" s="646"/>
      <c r="H499" s="646"/>
      <c r="I499" s="646"/>
      <c r="J499" s="646"/>
      <c r="K499" s="646"/>
      <c r="L499" s="646"/>
      <c r="M499" s="646"/>
      <c r="N499" s="646"/>
      <c r="O499" s="646"/>
      <c r="P499" s="646"/>
      <c r="Q499" s="646"/>
      <c r="R499" s="647"/>
    </row>
    <row r="500" spans="3:18" ht="20.25">
      <c r="C500" s="174"/>
      <c r="D500" s="194" t="s">
        <v>961</v>
      </c>
      <c r="E500" s="193"/>
      <c r="F500" s="170"/>
      <c r="G500" s="170"/>
      <c r="H500" s="170"/>
      <c r="I500" s="170"/>
      <c r="J500" s="170"/>
      <c r="K500" s="170"/>
      <c r="L500" s="152"/>
      <c r="M500" s="152"/>
      <c r="N500" s="164"/>
      <c r="O500" s="152"/>
      <c r="P500" s="173"/>
      <c r="Q500" s="153"/>
      <c r="R500" s="162">
        <v>4</v>
      </c>
    </row>
    <row r="501" spans="3:18" ht="20.25">
      <c r="C501" s="174"/>
      <c r="D501" s="194"/>
      <c r="E501" s="170"/>
      <c r="F501" s="170"/>
      <c r="G501" s="170"/>
      <c r="H501" s="170"/>
      <c r="I501" s="170"/>
      <c r="J501" s="170"/>
      <c r="K501" s="170"/>
      <c r="L501" s="152"/>
      <c r="M501" s="152"/>
      <c r="N501" s="152"/>
      <c r="O501" s="152"/>
      <c r="P501" s="153"/>
      <c r="Q501" s="153"/>
      <c r="R501" s="162"/>
    </row>
    <row r="502" spans="3:18" ht="43.5" customHeight="1">
      <c r="C502" s="174" t="s">
        <v>909</v>
      </c>
      <c r="D502" s="637" t="s">
        <v>164</v>
      </c>
      <c r="E502" s="637"/>
      <c r="F502" s="637"/>
      <c r="G502" s="637"/>
      <c r="H502" s="637"/>
      <c r="I502" s="637"/>
      <c r="J502" s="637"/>
      <c r="K502" s="637"/>
      <c r="L502" s="636" t="s">
        <v>623</v>
      </c>
      <c r="M502" s="636"/>
      <c r="N502" s="636"/>
      <c r="O502" s="152"/>
      <c r="P502" s="153">
        <f>R505</f>
        <v>6</v>
      </c>
      <c r="Q502" s="153"/>
      <c r="R502" s="154" t="s">
        <v>463</v>
      </c>
    </row>
    <row r="503" spans="3:18" ht="20.25">
      <c r="C503" s="174"/>
      <c r="D503" s="194" t="s">
        <v>640</v>
      </c>
      <c r="E503" s="170"/>
      <c r="F503" s="170"/>
      <c r="G503" s="170"/>
      <c r="H503" s="170"/>
      <c r="I503" s="170"/>
      <c r="J503" s="170"/>
      <c r="K503" s="170"/>
      <c r="L503" s="152"/>
      <c r="M503" s="152"/>
      <c r="N503" s="156"/>
      <c r="O503" s="152"/>
      <c r="P503" s="156" t="s">
        <v>920</v>
      </c>
      <c r="Q503" s="153"/>
      <c r="R503" s="157" t="s">
        <v>10</v>
      </c>
    </row>
    <row r="504" spans="3:18" ht="20.25">
      <c r="C504" s="174"/>
      <c r="D504" s="645" t="s">
        <v>682</v>
      </c>
      <c r="E504" s="646"/>
      <c r="F504" s="646"/>
      <c r="G504" s="646"/>
      <c r="H504" s="646"/>
      <c r="I504" s="646"/>
      <c r="J504" s="646"/>
      <c r="K504" s="646"/>
      <c r="L504" s="646"/>
      <c r="M504" s="646"/>
      <c r="N504" s="646"/>
      <c r="O504" s="646"/>
      <c r="P504" s="646"/>
      <c r="Q504" s="646"/>
      <c r="R504" s="647"/>
    </row>
    <row r="505" spans="3:18" ht="20.25">
      <c r="C505" s="174"/>
      <c r="D505" s="194" t="s">
        <v>963</v>
      </c>
      <c r="E505" s="193"/>
      <c r="F505" s="170"/>
      <c r="G505" s="170"/>
      <c r="H505" s="170"/>
      <c r="I505" s="170"/>
      <c r="J505" s="170"/>
      <c r="K505" s="170"/>
      <c r="L505" s="152"/>
      <c r="M505" s="152"/>
      <c r="N505" s="164"/>
      <c r="O505" s="152"/>
      <c r="P505" s="173"/>
      <c r="Q505" s="153"/>
      <c r="R505" s="162">
        <v>6</v>
      </c>
    </row>
    <row r="506" spans="3:18" ht="20.25">
      <c r="C506" s="174"/>
      <c r="D506" s="194"/>
      <c r="E506" s="193"/>
      <c r="F506" s="170"/>
      <c r="G506" s="170"/>
      <c r="H506" s="170"/>
      <c r="I506" s="170"/>
      <c r="J506" s="170"/>
      <c r="K506" s="170"/>
      <c r="L506" s="152"/>
      <c r="M506" s="152"/>
      <c r="N506" s="164"/>
      <c r="O506" s="152"/>
      <c r="P506" s="173"/>
      <c r="Q506" s="153"/>
      <c r="R506" s="162"/>
    </row>
    <row r="507" spans="3:18" ht="56.25" customHeight="1">
      <c r="C507" s="174" t="s">
        <v>910</v>
      </c>
      <c r="D507" s="637" t="s">
        <v>1051</v>
      </c>
      <c r="E507" s="637"/>
      <c r="F507" s="637"/>
      <c r="G507" s="637"/>
      <c r="H507" s="637"/>
      <c r="I507" s="637"/>
      <c r="J507" s="637"/>
      <c r="K507" s="637"/>
      <c r="L507" s="636" t="s">
        <v>623</v>
      </c>
      <c r="M507" s="636"/>
      <c r="N507" s="636"/>
      <c r="O507" s="152"/>
      <c r="P507" s="153">
        <f>R510</f>
        <v>2</v>
      </c>
      <c r="Q507" s="153"/>
      <c r="R507" s="154" t="s">
        <v>463</v>
      </c>
    </row>
    <row r="508" spans="3:18" ht="20.25">
      <c r="C508" s="174"/>
      <c r="D508" s="194" t="s">
        <v>640</v>
      </c>
      <c r="E508" s="170"/>
      <c r="F508" s="170"/>
      <c r="G508" s="170"/>
      <c r="H508" s="170"/>
      <c r="I508" s="170"/>
      <c r="J508" s="170"/>
      <c r="K508" s="170"/>
      <c r="L508" s="152"/>
      <c r="M508" s="152"/>
      <c r="N508" s="156"/>
      <c r="O508" s="152"/>
      <c r="P508" s="156"/>
      <c r="Q508" s="153"/>
      <c r="R508" s="157" t="s">
        <v>10</v>
      </c>
    </row>
    <row r="509" spans="3:18" ht="20.25">
      <c r="C509" s="174"/>
      <c r="D509" s="645" t="s">
        <v>682</v>
      </c>
      <c r="E509" s="646"/>
      <c r="F509" s="646"/>
      <c r="G509" s="646"/>
      <c r="H509" s="646"/>
      <c r="I509" s="646"/>
      <c r="J509" s="646"/>
      <c r="K509" s="646"/>
      <c r="L509" s="646"/>
      <c r="M509" s="646"/>
      <c r="N509" s="646"/>
      <c r="O509" s="646"/>
      <c r="P509" s="646"/>
      <c r="Q509" s="646"/>
      <c r="R509" s="647"/>
    </row>
    <row r="510" spans="3:18" ht="20.25">
      <c r="C510" s="174"/>
      <c r="D510" s="194" t="s">
        <v>963</v>
      </c>
      <c r="E510" s="193"/>
      <c r="F510" s="170"/>
      <c r="G510" s="170"/>
      <c r="H510" s="170"/>
      <c r="I510" s="170"/>
      <c r="J510" s="170"/>
      <c r="K510" s="170"/>
      <c r="L510" s="152"/>
      <c r="M510" s="152"/>
      <c r="N510" s="164"/>
      <c r="O510" s="152"/>
      <c r="P510" s="173"/>
      <c r="Q510" s="153"/>
      <c r="R510" s="162">
        <v>2</v>
      </c>
    </row>
    <row r="511" spans="3:18" ht="20.25">
      <c r="C511" s="174"/>
      <c r="D511" s="194"/>
      <c r="E511" s="193"/>
      <c r="F511" s="170"/>
      <c r="G511" s="170"/>
      <c r="H511" s="170"/>
      <c r="I511" s="170"/>
      <c r="J511" s="170"/>
      <c r="K511" s="170"/>
      <c r="L511" s="152"/>
      <c r="M511" s="152"/>
      <c r="N511" s="164"/>
      <c r="O511" s="152"/>
      <c r="P511" s="173"/>
      <c r="Q511" s="153"/>
      <c r="R511" s="162"/>
    </row>
    <row r="512" spans="3:18" ht="56.25" customHeight="1">
      <c r="C512" s="174" t="s">
        <v>911</v>
      </c>
      <c r="D512" s="637" t="s">
        <v>402</v>
      </c>
      <c r="E512" s="637"/>
      <c r="F512" s="637"/>
      <c r="G512" s="637"/>
      <c r="H512" s="637"/>
      <c r="I512" s="637"/>
      <c r="J512" s="637"/>
      <c r="K512" s="637"/>
      <c r="L512" s="636" t="s">
        <v>623</v>
      </c>
      <c r="M512" s="636"/>
      <c r="N512" s="636"/>
      <c r="O512" s="152"/>
      <c r="P512" s="153">
        <f>R515</f>
        <v>5</v>
      </c>
      <c r="Q512" s="153"/>
      <c r="R512" s="154" t="s">
        <v>463</v>
      </c>
    </row>
    <row r="513" spans="3:18" ht="20.25">
      <c r="C513" s="174"/>
      <c r="D513" s="194" t="s">
        <v>640</v>
      </c>
      <c r="E513" s="170"/>
      <c r="F513" s="170"/>
      <c r="G513" s="170"/>
      <c r="H513" s="170"/>
      <c r="I513" s="170"/>
      <c r="J513" s="170"/>
      <c r="K513" s="170"/>
      <c r="L513" s="152"/>
      <c r="M513" s="152"/>
      <c r="N513" s="156"/>
      <c r="O513" s="152"/>
      <c r="P513" s="156"/>
      <c r="Q513" s="153"/>
      <c r="R513" s="157" t="s">
        <v>10</v>
      </c>
    </row>
    <row r="514" spans="3:18" ht="20.25">
      <c r="C514" s="174"/>
      <c r="D514" s="645" t="s">
        <v>682</v>
      </c>
      <c r="E514" s="646"/>
      <c r="F514" s="646"/>
      <c r="G514" s="646"/>
      <c r="H514" s="646"/>
      <c r="I514" s="646"/>
      <c r="J514" s="646"/>
      <c r="K514" s="646"/>
      <c r="L514" s="646"/>
      <c r="M514" s="646"/>
      <c r="N514" s="646"/>
      <c r="O514" s="646"/>
      <c r="P514" s="646"/>
      <c r="Q514" s="646"/>
      <c r="R514" s="647"/>
    </row>
    <row r="515" spans="3:18" ht="20.25">
      <c r="C515" s="174"/>
      <c r="D515" s="194" t="s">
        <v>961</v>
      </c>
      <c r="E515" s="193"/>
      <c r="F515" s="170"/>
      <c r="G515" s="170"/>
      <c r="H515" s="170"/>
      <c r="I515" s="170"/>
      <c r="J515" s="170"/>
      <c r="K515" s="170"/>
      <c r="L515" s="152"/>
      <c r="M515" s="152"/>
      <c r="N515" s="164"/>
      <c r="O515" s="152"/>
      <c r="P515" s="173"/>
      <c r="Q515" s="153"/>
      <c r="R515" s="162">
        <v>5</v>
      </c>
    </row>
    <row r="516" spans="3:18" ht="20.25">
      <c r="C516" s="174"/>
      <c r="D516" s="194"/>
      <c r="E516" s="193"/>
      <c r="F516" s="170"/>
      <c r="G516" s="170"/>
      <c r="H516" s="170"/>
      <c r="I516" s="170"/>
      <c r="J516" s="170"/>
      <c r="K516" s="170"/>
      <c r="L516" s="152"/>
      <c r="M516" s="152"/>
      <c r="N516" s="164"/>
      <c r="O516" s="152"/>
      <c r="P516" s="173"/>
      <c r="Q516" s="153"/>
      <c r="R516" s="162"/>
    </row>
    <row r="517" spans="3:18" ht="56.25" customHeight="1">
      <c r="C517" s="174" t="s">
        <v>913</v>
      </c>
      <c r="D517" s="637" t="s">
        <v>407</v>
      </c>
      <c r="E517" s="637"/>
      <c r="F517" s="637"/>
      <c r="G517" s="637"/>
      <c r="H517" s="637"/>
      <c r="I517" s="637"/>
      <c r="J517" s="637"/>
      <c r="K517" s="637"/>
      <c r="L517" s="636" t="s">
        <v>623</v>
      </c>
      <c r="M517" s="636"/>
      <c r="N517" s="636"/>
      <c r="O517" s="152"/>
      <c r="P517" s="153">
        <f>R520</f>
        <v>2</v>
      </c>
      <c r="Q517" s="153"/>
      <c r="R517" s="154" t="s">
        <v>463</v>
      </c>
    </row>
    <row r="518" spans="3:18" ht="20.25">
      <c r="C518" s="174"/>
      <c r="D518" s="194" t="s">
        <v>640</v>
      </c>
      <c r="E518" s="170"/>
      <c r="F518" s="170"/>
      <c r="G518" s="170"/>
      <c r="H518" s="170"/>
      <c r="I518" s="170"/>
      <c r="J518" s="170"/>
      <c r="K518" s="170"/>
      <c r="L518" s="152"/>
      <c r="M518" s="152"/>
      <c r="N518" s="156"/>
      <c r="O518" s="152"/>
      <c r="P518" s="156"/>
      <c r="Q518" s="153"/>
      <c r="R518" s="157" t="s">
        <v>10</v>
      </c>
    </row>
    <row r="519" spans="3:18" ht="20.25">
      <c r="C519" s="174"/>
      <c r="D519" s="645" t="s">
        <v>682</v>
      </c>
      <c r="E519" s="646"/>
      <c r="F519" s="646"/>
      <c r="G519" s="646"/>
      <c r="H519" s="646"/>
      <c r="I519" s="646"/>
      <c r="J519" s="646"/>
      <c r="K519" s="646"/>
      <c r="L519" s="646"/>
      <c r="M519" s="646"/>
      <c r="N519" s="646"/>
      <c r="O519" s="646"/>
      <c r="P519" s="646"/>
      <c r="Q519" s="646"/>
      <c r="R519" s="647"/>
    </row>
    <row r="520" spans="3:18" ht="20.25">
      <c r="C520" s="174"/>
      <c r="D520" s="194" t="s">
        <v>963</v>
      </c>
      <c r="E520" s="193"/>
      <c r="F520" s="170"/>
      <c r="G520" s="170"/>
      <c r="H520" s="170"/>
      <c r="I520" s="170"/>
      <c r="J520" s="170"/>
      <c r="K520" s="170"/>
      <c r="L520" s="152"/>
      <c r="M520" s="152"/>
      <c r="N520" s="164"/>
      <c r="O520" s="152"/>
      <c r="P520" s="173"/>
      <c r="Q520" s="153"/>
      <c r="R520" s="162">
        <v>2</v>
      </c>
    </row>
    <row r="521" spans="3:18" ht="20.25">
      <c r="C521" s="174"/>
      <c r="D521" s="194"/>
      <c r="E521" s="193"/>
      <c r="F521" s="170"/>
      <c r="G521" s="170"/>
      <c r="H521" s="170"/>
      <c r="I521" s="170"/>
      <c r="J521" s="170"/>
      <c r="K521" s="170"/>
      <c r="L521" s="152"/>
      <c r="M521" s="152"/>
      <c r="N521" s="164"/>
      <c r="O521" s="152"/>
      <c r="P521" s="173"/>
      <c r="Q521" s="153"/>
      <c r="R521" s="162"/>
    </row>
    <row r="522" spans="3:18" ht="56.25" customHeight="1">
      <c r="C522" s="174" t="s">
        <v>918</v>
      </c>
      <c r="D522" s="637" t="s">
        <v>408</v>
      </c>
      <c r="E522" s="637"/>
      <c r="F522" s="637"/>
      <c r="G522" s="637"/>
      <c r="H522" s="637"/>
      <c r="I522" s="637"/>
      <c r="J522" s="637"/>
      <c r="K522" s="637"/>
      <c r="L522" s="636" t="s">
        <v>623</v>
      </c>
      <c r="M522" s="636"/>
      <c r="N522" s="636"/>
      <c r="O522" s="152"/>
      <c r="P522" s="153">
        <f>R525</f>
        <v>2</v>
      </c>
      <c r="Q522" s="153"/>
      <c r="R522" s="154" t="s">
        <v>463</v>
      </c>
    </row>
    <row r="523" spans="3:18" ht="20.25">
      <c r="C523" s="174"/>
      <c r="D523" s="194" t="s">
        <v>640</v>
      </c>
      <c r="E523" s="170"/>
      <c r="F523" s="170"/>
      <c r="G523" s="170"/>
      <c r="H523" s="170"/>
      <c r="I523" s="170"/>
      <c r="J523" s="170"/>
      <c r="K523" s="170"/>
      <c r="L523" s="152"/>
      <c r="M523" s="152"/>
      <c r="N523" s="156"/>
      <c r="O523" s="152"/>
      <c r="P523" s="156"/>
      <c r="Q523" s="153"/>
      <c r="R523" s="157" t="s">
        <v>10</v>
      </c>
    </row>
    <row r="524" spans="3:18" ht="20.25">
      <c r="C524" s="174"/>
      <c r="D524" s="645" t="s">
        <v>682</v>
      </c>
      <c r="E524" s="646"/>
      <c r="F524" s="646"/>
      <c r="G524" s="646"/>
      <c r="H524" s="646"/>
      <c r="I524" s="646"/>
      <c r="J524" s="646"/>
      <c r="K524" s="646"/>
      <c r="L524" s="646"/>
      <c r="M524" s="646"/>
      <c r="N524" s="646"/>
      <c r="O524" s="646"/>
      <c r="P524" s="646"/>
      <c r="Q524" s="646"/>
      <c r="R524" s="647"/>
    </row>
    <row r="525" spans="3:18" ht="20.25">
      <c r="C525" s="174"/>
      <c r="D525" s="194" t="s">
        <v>961</v>
      </c>
      <c r="E525" s="193"/>
      <c r="F525" s="170"/>
      <c r="G525" s="170"/>
      <c r="H525" s="170"/>
      <c r="I525" s="170"/>
      <c r="J525" s="170"/>
      <c r="K525" s="170"/>
      <c r="L525" s="152"/>
      <c r="M525" s="152"/>
      <c r="N525" s="164"/>
      <c r="O525" s="152"/>
      <c r="P525" s="173"/>
      <c r="Q525" s="153"/>
      <c r="R525" s="162">
        <v>2</v>
      </c>
    </row>
    <row r="526" spans="3:18" ht="20.25">
      <c r="C526" s="174"/>
      <c r="D526" s="194"/>
      <c r="E526" s="193"/>
      <c r="F526" s="170"/>
      <c r="G526" s="170"/>
      <c r="H526" s="170"/>
      <c r="I526" s="170"/>
      <c r="J526" s="170"/>
      <c r="K526" s="170"/>
      <c r="L526" s="152"/>
      <c r="M526" s="152"/>
      <c r="N526" s="164"/>
      <c r="O526" s="152"/>
      <c r="P526" s="173"/>
      <c r="Q526" s="153"/>
      <c r="R526" s="162"/>
    </row>
    <row r="527" spans="3:18" ht="56.25" customHeight="1">
      <c r="C527" s="174" t="s">
        <v>1043</v>
      </c>
      <c r="D527" s="637" t="s">
        <v>209</v>
      </c>
      <c r="E527" s="637"/>
      <c r="F527" s="637"/>
      <c r="G527" s="637"/>
      <c r="H527" s="637"/>
      <c r="I527" s="637"/>
      <c r="J527" s="637"/>
      <c r="K527" s="637"/>
      <c r="L527" s="636" t="s">
        <v>623</v>
      </c>
      <c r="M527" s="636"/>
      <c r="N527" s="636"/>
      <c r="O527" s="152"/>
      <c r="P527" s="153">
        <f>SUM(R530:R531)</f>
        <v>6</v>
      </c>
      <c r="Q527" s="153"/>
      <c r="R527" s="154" t="s">
        <v>463</v>
      </c>
    </row>
    <row r="528" spans="3:18" ht="20.25">
      <c r="C528" s="174"/>
      <c r="D528" s="194" t="s">
        <v>640</v>
      </c>
      <c r="E528" s="170"/>
      <c r="F528" s="170"/>
      <c r="G528" s="170"/>
      <c r="H528" s="170"/>
      <c r="I528" s="170"/>
      <c r="J528" s="170"/>
      <c r="K528" s="170"/>
      <c r="L528" s="152"/>
      <c r="M528" s="152"/>
      <c r="N528" s="156"/>
      <c r="O528" s="152"/>
      <c r="P528" s="156"/>
      <c r="Q528" s="153"/>
      <c r="R528" s="157" t="s">
        <v>10</v>
      </c>
    </row>
    <row r="529" spans="3:18" ht="20.25">
      <c r="C529" s="174"/>
      <c r="D529" s="645" t="s">
        <v>682</v>
      </c>
      <c r="E529" s="646"/>
      <c r="F529" s="646"/>
      <c r="G529" s="646"/>
      <c r="H529" s="646"/>
      <c r="I529" s="646"/>
      <c r="J529" s="646"/>
      <c r="K529" s="646"/>
      <c r="L529" s="646"/>
      <c r="M529" s="646"/>
      <c r="N529" s="646"/>
      <c r="O529" s="646"/>
      <c r="P529" s="646"/>
      <c r="Q529" s="646"/>
      <c r="R529" s="647"/>
    </row>
    <row r="530" spans="3:18" ht="20.25">
      <c r="C530" s="174"/>
      <c r="D530" s="194" t="s">
        <v>961</v>
      </c>
      <c r="E530" s="193"/>
      <c r="F530" s="170"/>
      <c r="G530" s="170"/>
      <c r="H530" s="170"/>
      <c r="I530" s="170"/>
      <c r="J530" s="170"/>
      <c r="K530" s="170"/>
      <c r="L530" s="152"/>
      <c r="M530" s="152"/>
      <c r="N530" s="164"/>
      <c r="O530" s="152"/>
      <c r="P530" s="173"/>
      <c r="Q530" s="153"/>
      <c r="R530" s="162">
        <v>4</v>
      </c>
    </row>
    <row r="531" spans="3:18" ht="20.25">
      <c r="C531" s="174"/>
      <c r="D531" s="194" t="s">
        <v>963</v>
      </c>
      <c r="E531" s="193"/>
      <c r="F531" s="170"/>
      <c r="G531" s="170"/>
      <c r="H531" s="170"/>
      <c r="I531" s="170"/>
      <c r="J531" s="170"/>
      <c r="K531" s="170"/>
      <c r="L531" s="152"/>
      <c r="M531" s="152"/>
      <c r="N531" s="164"/>
      <c r="O531" s="152"/>
      <c r="P531" s="173"/>
      <c r="Q531" s="153"/>
      <c r="R531" s="162">
        <v>2</v>
      </c>
    </row>
    <row r="532" spans="3:18" ht="20.25">
      <c r="C532" s="174"/>
      <c r="D532" s="194"/>
      <c r="E532" s="193"/>
      <c r="F532" s="170"/>
      <c r="G532" s="170"/>
      <c r="H532" s="170"/>
      <c r="I532" s="170"/>
      <c r="J532" s="170"/>
      <c r="K532" s="170"/>
      <c r="L532" s="152"/>
      <c r="M532" s="152"/>
      <c r="N532" s="164"/>
      <c r="O532" s="152"/>
      <c r="P532" s="173"/>
      <c r="Q532" s="153"/>
      <c r="R532" s="162"/>
    </row>
    <row r="533" spans="3:18" ht="56.25" customHeight="1">
      <c r="C533" s="174" t="s">
        <v>1044</v>
      </c>
      <c r="D533" s="637" t="s">
        <v>210</v>
      </c>
      <c r="E533" s="637"/>
      <c r="F533" s="637"/>
      <c r="G533" s="637"/>
      <c r="H533" s="637"/>
      <c r="I533" s="637"/>
      <c r="J533" s="637"/>
      <c r="K533" s="637"/>
      <c r="L533" s="636" t="s">
        <v>623</v>
      </c>
      <c r="M533" s="636"/>
      <c r="N533" s="636"/>
      <c r="O533" s="152"/>
      <c r="P533" s="153">
        <f>SUM(R536:R537)</f>
        <v>4</v>
      </c>
      <c r="Q533" s="153"/>
      <c r="R533" s="154" t="s">
        <v>463</v>
      </c>
    </row>
    <row r="534" spans="3:18" ht="20.25">
      <c r="C534" s="174"/>
      <c r="D534" s="194" t="s">
        <v>640</v>
      </c>
      <c r="E534" s="170"/>
      <c r="F534" s="170"/>
      <c r="G534" s="170"/>
      <c r="H534" s="170"/>
      <c r="I534" s="170"/>
      <c r="J534" s="170"/>
      <c r="K534" s="170"/>
      <c r="L534" s="152"/>
      <c r="M534" s="152"/>
      <c r="N534" s="156"/>
      <c r="O534" s="152"/>
      <c r="P534" s="156"/>
      <c r="Q534" s="153"/>
      <c r="R534" s="157" t="s">
        <v>10</v>
      </c>
    </row>
    <row r="535" spans="3:18" ht="20.25">
      <c r="C535" s="174"/>
      <c r="D535" s="645" t="s">
        <v>682</v>
      </c>
      <c r="E535" s="646"/>
      <c r="F535" s="646"/>
      <c r="G535" s="646"/>
      <c r="H535" s="646"/>
      <c r="I535" s="646"/>
      <c r="J535" s="646"/>
      <c r="K535" s="646"/>
      <c r="L535" s="646"/>
      <c r="M535" s="646"/>
      <c r="N535" s="646"/>
      <c r="O535" s="646"/>
      <c r="P535" s="646"/>
      <c r="Q535" s="646"/>
      <c r="R535" s="647"/>
    </row>
    <row r="536" spans="3:18" ht="20.25">
      <c r="C536" s="174"/>
      <c r="D536" s="194" t="s">
        <v>961</v>
      </c>
      <c r="E536" s="193"/>
      <c r="F536" s="170"/>
      <c r="G536" s="170"/>
      <c r="H536" s="170"/>
      <c r="I536" s="170"/>
      <c r="J536" s="170"/>
      <c r="K536" s="170"/>
      <c r="L536" s="152"/>
      <c r="M536" s="152"/>
      <c r="N536" s="164"/>
      <c r="O536" s="152"/>
      <c r="P536" s="173"/>
      <c r="Q536" s="153"/>
      <c r="R536" s="162">
        <v>2</v>
      </c>
    </row>
    <row r="537" spans="3:18" ht="20.25">
      <c r="C537" s="174"/>
      <c r="D537" s="194" t="s">
        <v>963</v>
      </c>
      <c r="E537" s="193"/>
      <c r="F537" s="170"/>
      <c r="G537" s="170"/>
      <c r="H537" s="170"/>
      <c r="I537" s="170"/>
      <c r="J537" s="170"/>
      <c r="K537" s="170"/>
      <c r="L537" s="152"/>
      <c r="M537" s="152"/>
      <c r="N537" s="164"/>
      <c r="O537" s="152"/>
      <c r="P537" s="173"/>
      <c r="Q537" s="153"/>
      <c r="R537" s="162">
        <v>2</v>
      </c>
    </row>
    <row r="538" spans="3:18" ht="20.25">
      <c r="C538" s="174"/>
      <c r="D538" s="194"/>
      <c r="E538" s="193"/>
      <c r="F538" s="170"/>
      <c r="G538" s="170"/>
      <c r="H538" s="170"/>
      <c r="I538" s="170"/>
      <c r="J538" s="170"/>
      <c r="K538" s="170"/>
      <c r="L538" s="152"/>
      <c r="M538" s="152"/>
      <c r="N538" s="164"/>
      <c r="O538" s="152"/>
      <c r="P538" s="173"/>
      <c r="Q538" s="153"/>
      <c r="R538" s="162"/>
    </row>
    <row r="539" spans="3:18" ht="56.25" customHeight="1">
      <c r="C539" s="174" t="s">
        <v>1045</v>
      </c>
      <c r="D539" s="637" t="s">
        <v>211</v>
      </c>
      <c r="E539" s="637"/>
      <c r="F539" s="637"/>
      <c r="G539" s="637"/>
      <c r="H539" s="637"/>
      <c r="I539" s="637"/>
      <c r="J539" s="637"/>
      <c r="K539" s="637"/>
      <c r="L539" s="636" t="s">
        <v>623</v>
      </c>
      <c r="M539" s="636"/>
      <c r="N539" s="636"/>
      <c r="O539" s="152"/>
      <c r="P539" s="153">
        <f>SUM(R542:R543)</f>
        <v>4</v>
      </c>
      <c r="Q539" s="153"/>
      <c r="R539" s="154" t="s">
        <v>463</v>
      </c>
    </row>
    <row r="540" spans="3:18" ht="20.25">
      <c r="C540" s="174"/>
      <c r="D540" s="194" t="s">
        <v>640</v>
      </c>
      <c r="E540" s="170"/>
      <c r="F540" s="170"/>
      <c r="G540" s="170"/>
      <c r="H540" s="170"/>
      <c r="I540" s="170"/>
      <c r="J540" s="170"/>
      <c r="K540" s="170"/>
      <c r="L540" s="152"/>
      <c r="M540" s="152"/>
      <c r="N540" s="156"/>
      <c r="O540" s="152"/>
      <c r="P540" s="156"/>
      <c r="Q540" s="153"/>
      <c r="R540" s="157" t="s">
        <v>10</v>
      </c>
    </row>
    <row r="541" spans="3:18" ht="20.25">
      <c r="C541" s="174"/>
      <c r="D541" s="645" t="s">
        <v>682</v>
      </c>
      <c r="E541" s="646"/>
      <c r="F541" s="646"/>
      <c r="G541" s="646"/>
      <c r="H541" s="646"/>
      <c r="I541" s="646"/>
      <c r="J541" s="646"/>
      <c r="K541" s="646"/>
      <c r="L541" s="646"/>
      <c r="M541" s="646"/>
      <c r="N541" s="646"/>
      <c r="O541" s="646"/>
      <c r="P541" s="646"/>
      <c r="Q541" s="646"/>
      <c r="R541" s="647"/>
    </row>
    <row r="542" spans="3:18" ht="20.25">
      <c r="C542" s="174"/>
      <c r="D542" s="194" t="s">
        <v>961</v>
      </c>
      <c r="E542" s="193"/>
      <c r="F542" s="170"/>
      <c r="G542" s="170"/>
      <c r="H542" s="170"/>
      <c r="I542" s="170"/>
      <c r="J542" s="170"/>
      <c r="K542" s="170"/>
      <c r="L542" s="152"/>
      <c r="M542" s="152"/>
      <c r="N542" s="164"/>
      <c r="O542" s="152"/>
      <c r="P542" s="173"/>
      <c r="Q542" s="153"/>
      <c r="R542" s="162">
        <v>2</v>
      </c>
    </row>
    <row r="543" spans="3:18" ht="20.25">
      <c r="C543" s="174"/>
      <c r="D543" s="194" t="s">
        <v>963</v>
      </c>
      <c r="E543" s="193"/>
      <c r="F543" s="170"/>
      <c r="G543" s="170"/>
      <c r="H543" s="170"/>
      <c r="I543" s="170"/>
      <c r="J543" s="170"/>
      <c r="K543" s="170"/>
      <c r="L543" s="152"/>
      <c r="M543" s="152"/>
      <c r="N543" s="164"/>
      <c r="O543" s="152"/>
      <c r="P543" s="173"/>
      <c r="Q543" s="153"/>
      <c r="R543" s="162">
        <v>2</v>
      </c>
    </row>
    <row r="544" spans="3:18" ht="20.25">
      <c r="C544" s="174"/>
      <c r="D544" s="155"/>
      <c r="E544" s="164"/>
      <c r="F544" s="170"/>
      <c r="G544" s="170"/>
      <c r="H544" s="170"/>
      <c r="I544" s="170"/>
      <c r="J544" s="170"/>
      <c r="K544" s="170"/>
      <c r="L544" s="152"/>
      <c r="M544" s="152"/>
      <c r="N544" s="164"/>
      <c r="O544" s="152"/>
      <c r="P544" s="173"/>
      <c r="Q544" s="153"/>
      <c r="R544" s="162"/>
    </row>
    <row r="545" spans="3:18" ht="56.25" customHeight="1">
      <c r="C545" s="174" t="s">
        <v>1046</v>
      </c>
      <c r="D545" s="637" t="s">
        <v>173</v>
      </c>
      <c r="E545" s="637"/>
      <c r="F545" s="637"/>
      <c r="G545" s="637"/>
      <c r="H545" s="637"/>
      <c r="I545" s="637"/>
      <c r="J545" s="637"/>
      <c r="K545" s="637"/>
      <c r="L545" s="636" t="s">
        <v>623</v>
      </c>
      <c r="M545" s="636"/>
      <c r="N545" s="636"/>
      <c r="O545" s="152"/>
      <c r="P545" s="153">
        <f>R548</f>
        <v>5</v>
      </c>
      <c r="Q545" s="153"/>
      <c r="R545" s="154" t="s">
        <v>463</v>
      </c>
    </row>
    <row r="546" spans="3:18" ht="20.25">
      <c r="C546" s="174"/>
      <c r="D546" s="194" t="s">
        <v>640</v>
      </c>
      <c r="E546" s="170"/>
      <c r="F546" s="170"/>
      <c r="G546" s="170"/>
      <c r="H546" s="170"/>
      <c r="I546" s="170"/>
      <c r="J546" s="170"/>
      <c r="K546" s="170"/>
      <c r="L546" s="152"/>
      <c r="M546" s="152"/>
      <c r="N546" s="156"/>
      <c r="O546" s="152"/>
      <c r="P546" s="156"/>
      <c r="Q546" s="153"/>
      <c r="R546" s="157" t="s">
        <v>10</v>
      </c>
    </row>
    <row r="547" spans="3:18" ht="20.25">
      <c r="C547" s="174"/>
      <c r="D547" s="645" t="s">
        <v>682</v>
      </c>
      <c r="E547" s="646"/>
      <c r="F547" s="646"/>
      <c r="G547" s="646"/>
      <c r="H547" s="646"/>
      <c r="I547" s="646"/>
      <c r="J547" s="646"/>
      <c r="K547" s="646"/>
      <c r="L547" s="646"/>
      <c r="M547" s="646"/>
      <c r="N547" s="646"/>
      <c r="O547" s="646"/>
      <c r="P547" s="646"/>
      <c r="Q547" s="646"/>
      <c r="R547" s="647"/>
    </row>
    <row r="548" spans="3:18" ht="20.25">
      <c r="C548" s="174"/>
      <c r="D548" s="194" t="s">
        <v>961</v>
      </c>
      <c r="E548" s="193"/>
      <c r="F548" s="170"/>
      <c r="G548" s="170"/>
      <c r="H548" s="170"/>
      <c r="I548" s="170"/>
      <c r="J548" s="170"/>
      <c r="K548" s="170"/>
      <c r="L548" s="152"/>
      <c r="M548" s="152"/>
      <c r="N548" s="164"/>
      <c r="O548" s="152"/>
      <c r="P548" s="173"/>
      <c r="Q548" s="153"/>
      <c r="R548" s="162">
        <v>5</v>
      </c>
    </row>
    <row r="549" spans="3:18" ht="20.25">
      <c r="C549" s="174"/>
      <c r="D549" s="194"/>
      <c r="E549" s="193"/>
      <c r="F549" s="170"/>
      <c r="G549" s="170"/>
      <c r="H549" s="170"/>
      <c r="I549" s="170"/>
      <c r="J549" s="170"/>
      <c r="K549" s="170"/>
      <c r="L549" s="152"/>
      <c r="M549" s="152"/>
      <c r="N549" s="164"/>
      <c r="O549" s="152"/>
      <c r="P549" s="173"/>
      <c r="Q549" s="153"/>
      <c r="R549" s="162"/>
    </row>
    <row r="550" spans="3:18" ht="56.25" customHeight="1">
      <c r="C550" s="174" t="s">
        <v>1047</v>
      </c>
      <c r="D550" s="637" t="s">
        <v>168</v>
      </c>
      <c r="E550" s="637"/>
      <c r="F550" s="637"/>
      <c r="G550" s="637"/>
      <c r="H550" s="637"/>
      <c r="I550" s="637"/>
      <c r="J550" s="637"/>
      <c r="K550" s="637"/>
      <c r="L550" s="636" t="s">
        <v>623</v>
      </c>
      <c r="M550" s="636"/>
      <c r="N550" s="636"/>
      <c r="O550" s="152"/>
      <c r="P550" s="153">
        <f>R553</f>
        <v>5</v>
      </c>
      <c r="Q550" s="153"/>
      <c r="R550" s="154" t="s">
        <v>463</v>
      </c>
    </row>
    <row r="551" spans="3:18" ht="20.25">
      <c r="C551" s="174"/>
      <c r="D551" s="194" t="s">
        <v>640</v>
      </c>
      <c r="E551" s="170"/>
      <c r="F551" s="170"/>
      <c r="G551" s="170"/>
      <c r="H551" s="170"/>
      <c r="I551" s="170"/>
      <c r="J551" s="170"/>
      <c r="K551" s="170"/>
      <c r="L551" s="152"/>
      <c r="M551" s="152"/>
      <c r="N551" s="156"/>
      <c r="O551" s="152"/>
      <c r="P551" s="156"/>
      <c r="Q551" s="153"/>
      <c r="R551" s="157" t="s">
        <v>10</v>
      </c>
    </row>
    <row r="552" spans="3:18" ht="20.25">
      <c r="C552" s="174"/>
      <c r="D552" s="645" t="s">
        <v>682</v>
      </c>
      <c r="E552" s="646"/>
      <c r="F552" s="646"/>
      <c r="G552" s="646"/>
      <c r="H552" s="646"/>
      <c r="I552" s="646"/>
      <c r="J552" s="646"/>
      <c r="K552" s="646"/>
      <c r="L552" s="646"/>
      <c r="M552" s="646"/>
      <c r="N552" s="646"/>
      <c r="O552" s="646"/>
      <c r="P552" s="646"/>
      <c r="Q552" s="646"/>
      <c r="R552" s="647"/>
    </row>
    <row r="553" spans="3:18" ht="20.25">
      <c r="C553" s="174"/>
      <c r="D553" s="194" t="s">
        <v>961</v>
      </c>
      <c r="E553" s="193"/>
      <c r="F553" s="170"/>
      <c r="G553" s="170"/>
      <c r="H553" s="170"/>
      <c r="I553" s="170"/>
      <c r="J553" s="170"/>
      <c r="K553" s="170"/>
      <c r="L553" s="152"/>
      <c r="M553" s="152"/>
      <c r="N553" s="164"/>
      <c r="O553" s="152"/>
      <c r="P553" s="173"/>
      <c r="Q553" s="153"/>
      <c r="R553" s="162">
        <v>5</v>
      </c>
    </row>
    <row r="554" spans="3:18" ht="20.25">
      <c r="C554" s="174"/>
      <c r="D554" s="194"/>
      <c r="E554" s="193"/>
      <c r="F554" s="170"/>
      <c r="G554" s="170"/>
      <c r="H554" s="170"/>
      <c r="I554" s="170"/>
      <c r="J554" s="170"/>
      <c r="K554" s="170"/>
      <c r="L554" s="152"/>
      <c r="M554" s="152"/>
      <c r="N554" s="164"/>
      <c r="O554" s="152"/>
      <c r="P554" s="173"/>
      <c r="Q554" s="153"/>
      <c r="R554" s="162"/>
    </row>
    <row r="555" spans="3:18" ht="20.25">
      <c r="C555" s="174"/>
      <c r="D555" s="194"/>
      <c r="E555" s="314"/>
      <c r="F555" s="225"/>
      <c r="G555" s="225"/>
      <c r="H555" s="225"/>
      <c r="I555" s="225"/>
      <c r="J555" s="225"/>
      <c r="K555" s="225"/>
      <c r="L555" s="224"/>
      <c r="M555" s="224"/>
      <c r="N555" s="315"/>
      <c r="O555" s="224"/>
      <c r="P555" s="316"/>
      <c r="Q555" s="317"/>
      <c r="R555" s="167"/>
    </row>
    <row r="556" spans="3:18" ht="56.25" customHeight="1">
      <c r="C556" s="174" t="s">
        <v>1048</v>
      </c>
      <c r="D556" s="637" t="s">
        <v>404</v>
      </c>
      <c r="E556" s="637"/>
      <c r="F556" s="637"/>
      <c r="G556" s="637"/>
      <c r="H556" s="637"/>
      <c r="I556" s="637"/>
      <c r="J556" s="637"/>
      <c r="K556" s="637"/>
      <c r="L556" s="636" t="s">
        <v>623</v>
      </c>
      <c r="M556" s="636"/>
      <c r="N556" s="636"/>
      <c r="O556" s="152"/>
      <c r="P556" s="153">
        <f>R559</f>
        <v>5</v>
      </c>
      <c r="Q556" s="153"/>
      <c r="R556" s="154" t="s">
        <v>463</v>
      </c>
    </row>
    <row r="557" spans="3:18" ht="20.25">
      <c r="C557" s="174"/>
      <c r="D557" s="194" t="s">
        <v>640</v>
      </c>
      <c r="E557" s="170"/>
      <c r="F557" s="170"/>
      <c r="G557" s="170"/>
      <c r="H557" s="170"/>
      <c r="I557" s="170"/>
      <c r="J557" s="170"/>
      <c r="K557" s="170"/>
      <c r="L557" s="152"/>
      <c r="M557" s="152"/>
      <c r="N557" s="156"/>
      <c r="O557" s="152"/>
      <c r="P557" s="156"/>
      <c r="Q557" s="153"/>
      <c r="R557" s="157" t="s">
        <v>10</v>
      </c>
    </row>
    <row r="558" spans="3:18" ht="20.25">
      <c r="C558" s="174"/>
      <c r="D558" s="645" t="s">
        <v>682</v>
      </c>
      <c r="E558" s="646"/>
      <c r="F558" s="646"/>
      <c r="G558" s="646"/>
      <c r="H558" s="646"/>
      <c r="I558" s="646"/>
      <c r="J558" s="646"/>
      <c r="K558" s="646"/>
      <c r="L558" s="646"/>
      <c r="M558" s="646"/>
      <c r="N558" s="646"/>
      <c r="O558" s="646"/>
      <c r="P558" s="646"/>
      <c r="Q558" s="646"/>
      <c r="R558" s="647"/>
    </row>
    <row r="559" spans="3:18" ht="20.25">
      <c r="C559" s="174"/>
      <c r="D559" s="194" t="s">
        <v>961</v>
      </c>
      <c r="E559" s="193"/>
      <c r="F559" s="170"/>
      <c r="G559" s="170"/>
      <c r="H559" s="170"/>
      <c r="I559" s="170"/>
      <c r="J559" s="170"/>
      <c r="K559" s="170"/>
      <c r="L559" s="152"/>
      <c r="M559" s="152"/>
      <c r="N559" s="164"/>
      <c r="O559" s="152"/>
      <c r="P559" s="173"/>
      <c r="Q559" s="153"/>
      <c r="R559" s="162">
        <v>5</v>
      </c>
    </row>
    <row r="560" spans="3:18" ht="20.25">
      <c r="C560" s="174"/>
      <c r="D560" s="194"/>
      <c r="E560" s="193"/>
      <c r="F560" s="170"/>
      <c r="G560" s="170"/>
      <c r="H560" s="170"/>
      <c r="I560" s="170"/>
      <c r="J560" s="170"/>
      <c r="K560" s="170"/>
      <c r="L560" s="152"/>
      <c r="M560" s="152"/>
      <c r="N560" s="164"/>
      <c r="O560" s="152"/>
      <c r="P560" s="173"/>
      <c r="Q560" s="153"/>
      <c r="R560" s="162"/>
    </row>
    <row r="561" spans="3:18" ht="20.25">
      <c r="C561" s="174"/>
      <c r="D561" s="194"/>
      <c r="E561" s="314"/>
      <c r="F561" s="225"/>
      <c r="G561" s="225"/>
      <c r="H561" s="225"/>
      <c r="I561" s="225"/>
      <c r="J561" s="225"/>
      <c r="K561" s="225"/>
      <c r="L561" s="224"/>
      <c r="M561" s="224"/>
      <c r="N561" s="315"/>
      <c r="O561" s="224"/>
      <c r="P561" s="316"/>
      <c r="Q561" s="317"/>
      <c r="R561" s="167"/>
    </row>
    <row r="562" spans="3:18" ht="56.25" customHeight="1">
      <c r="C562" s="174" t="s">
        <v>1049</v>
      </c>
      <c r="D562" s="637" t="s">
        <v>172</v>
      </c>
      <c r="E562" s="637"/>
      <c r="F562" s="637"/>
      <c r="G562" s="637"/>
      <c r="H562" s="637"/>
      <c r="I562" s="637"/>
      <c r="J562" s="637"/>
      <c r="K562" s="637"/>
      <c r="L562" s="636" t="s">
        <v>623</v>
      </c>
      <c r="M562" s="636"/>
      <c r="N562" s="636"/>
      <c r="O562" s="152"/>
      <c r="P562" s="153">
        <f>SUM(R565:R566)</f>
        <v>6</v>
      </c>
      <c r="Q562" s="153"/>
      <c r="R562" s="154" t="s">
        <v>463</v>
      </c>
    </row>
    <row r="563" spans="3:18" ht="20.25">
      <c r="C563" s="174"/>
      <c r="D563" s="194" t="s">
        <v>640</v>
      </c>
      <c r="E563" s="170"/>
      <c r="F563" s="170"/>
      <c r="G563" s="170"/>
      <c r="H563" s="170"/>
      <c r="I563" s="170"/>
      <c r="J563" s="170"/>
      <c r="K563" s="170"/>
      <c r="L563" s="152"/>
      <c r="M563" s="152"/>
      <c r="N563" s="156"/>
      <c r="O563" s="152"/>
      <c r="P563" s="156"/>
      <c r="Q563" s="153"/>
      <c r="R563" s="157" t="s">
        <v>10</v>
      </c>
    </row>
    <row r="564" spans="3:18" ht="20.25">
      <c r="C564" s="174"/>
      <c r="D564" s="645" t="s">
        <v>682</v>
      </c>
      <c r="E564" s="646"/>
      <c r="F564" s="646"/>
      <c r="G564" s="646"/>
      <c r="H564" s="646"/>
      <c r="I564" s="646"/>
      <c r="J564" s="646"/>
      <c r="K564" s="646"/>
      <c r="L564" s="646"/>
      <c r="M564" s="646"/>
      <c r="N564" s="646"/>
      <c r="O564" s="646"/>
      <c r="P564" s="646"/>
      <c r="Q564" s="646"/>
      <c r="R564" s="647"/>
    </row>
    <row r="565" spans="3:18" ht="20.25">
      <c r="C565" s="174"/>
      <c r="D565" s="194" t="s">
        <v>961</v>
      </c>
      <c r="E565" s="193"/>
      <c r="F565" s="170"/>
      <c r="G565" s="170"/>
      <c r="H565" s="170"/>
      <c r="I565" s="170"/>
      <c r="J565" s="170"/>
      <c r="K565" s="170"/>
      <c r="L565" s="152"/>
      <c r="M565" s="152"/>
      <c r="N565" s="164"/>
      <c r="O565" s="152"/>
      <c r="P565" s="173"/>
      <c r="Q565" s="153"/>
      <c r="R565" s="162">
        <v>4</v>
      </c>
    </row>
    <row r="566" spans="3:18" ht="20.25">
      <c r="C566" s="174"/>
      <c r="D566" s="194" t="s">
        <v>963</v>
      </c>
      <c r="E566" s="193"/>
      <c r="F566" s="170"/>
      <c r="G566" s="170"/>
      <c r="H566" s="170"/>
      <c r="I566" s="170"/>
      <c r="J566" s="170"/>
      <c r="K566" s="170"/>
      <c r="L566" s="152"/>
      <c r="M566" s="152"/>
      <c r="N566" s="164"/>
      <c r="O566" s="152"/>
      <c r="P566" s="173"/>
      <c r="Q566" s="153"/>
      <c r="R566" s="162">
        <v>2</v>
      </c>
    </row>
    <row r="567" spans="3:18" ht="20.25">
      <c r="C567" s="174"/>
      <c r="D567" s="194"/>
      <c r="E567" s="193"/>
      <c r="F567" s="170"/>
      <c r="G567" s="170"/>
      <c r="H567" s="170"/>
      <c r="I567" s="170"/>
      <c r="J567" s="170"/>
      <c r="K567" s="170"/>
      <c r="L567" s="152"/>
      <c r="M567" s="152"/>
      <c r="N567" s="164"/>
      <c r="O567" s="152"/>
      <c r="P567" s="173"/>
      <c r="Q567" s="153"/>
      <c r="R567" s="162"/>
    </row>
    <row r="568" spans="3:18" ht="20.25">
      <c r="C568" s="174"/>
      <c r="D568" s="194"/>
      <c r="E568" s="314"/>
      <c r="F568" s="225"/>
      <c r="G568" s="225"/>
      <c r="H568" s="225"/>
      <c r="I568" s="225"/>
      <c r="J568" s="225"/>
      <c r="K568" s="225"/>
      <c r="L568" s="224"/>
      <c r="M568" s="224"/>
      <c r="N568" s="315"/>
      <c r="O568" s="224"/>
      <c r="P568" s="316"/>
      <c r="Q568" s="317"/>
      <c r="R568" s="167"/>
    </row>
    <row r="569" spans="3:18" ht="20.25">
      <c r="C569" s="306" t="s">
        <v>661</v>
      </c>
      <c r="D569" s="674" t="s">
        <v>26</v>
      </c>
      <c r="E569" s="675"/>
      <c r="F569" s="675"/>
      <c r="G569" s="675"/>
      <c r="H569" s="675"/>
      <c r="I569" s="675"/>
      <c r="J569" s="675"/>
      <c r="K569" s="675"/>
      <c r="L569" s="675"/>
      <c r="M569" s="675"/>
      <c r="N569" s="675"/>
      <c r="O569" s="675"/>
      <c r="P569" s="675"/>
      <c r="Q569" s="675"/>
      <c r="R569" s="676"/>
    </row>
    <row r="570" spans="3:18" ht="20.25">
      <c r="C570" s="304" t="s">
        <v>62</v>
      </c>
      <c r="D570" s="666" t="s">
        <v>678</v>
      </c>
      <c r="E570" s="667"/>
      <c r="F570" s="667"/>
      <c r="G570" s="667"/>
      <c r="H570" s="667"/>
      <c r="I570" s="667"/>
      <c r="J570" s="667"/>
      <c r="K570" s="668"/>
      <c r="L570" s="636" t="s">
        <v>623</v>
      </c>
      <c r="M570" s="636"/>
      <c r="N570" s="636"/>
      <c r="O570" s="152"/>
      <c r="P570" s="153">
        <f>SUM(R572)</f>
        <v>810</v>
      </c>
      <c r="Q570" s="153"/>
      <c r="R570" s="154" t="s">
        <v>9</v>
      </c>
    </row>
    <row r="571" spans="3:18" ht="20.25">
      <c r="C571" s="303"/>
      <c r="D571" s="155" t="s">
        <v>462</v>
      </c>
      <c r="E571" s="303"/>
      <c r="F571" s="303"/>
      <c r="G571" s="303"/>
      <c r="H571" s="303"/>
      <c r="I571" s="303"/>
      <c r="J571" s="303"/>
      <c r="K571" s="303"/>
      <c r="L571" s="156"/>
      <c r="M571" s="152"/>
      <c r="N571" s="156"/>
      <c r="O571" s="152"/>
      <c r="P571" s="156"/>
      <c r="Q571" s="153"/>
      <c r="R571" s="157" t="s">
        <v>626</v>
      </c>
    </row>
    <row r="572" spans="3:18" ht="20.25">
      <c r="C572" s="303"/>
      <c r="D572" s="158"/>
      <c r="E572" s="303"/>
      <c r="F572" s="303"/>
      <c r="G572" s="303"/>
      <c r="H572" s="303"/>
      <c r="I572" s="303"/>
      <c r="J572" s="303"/>
      <c r="K572" s="303"/>
      <c r="L572" s="334"/>
      <c r="M572" s="334"/>
      <c r="N572" s="334"/>
      <c r="O572" s="303"/>
      <c r="P572" s="303"/>
      <c r="Q572" s="303"/>
      <c r="R572" s="165">
        <v>810</v>
      </c>
    </row>
    <row r="573" spans="3:18" ht="20.25">
      <c r="C573" s="303"/>
      <c r="D573" s="334"/>
      <c r="E573" s="303"/>
      <c r="F573" s="303"/>
      <c r="G573" s="303"/>
      <c r="H573" s="303"/>
      <c r="I573" s="303"/>
      <c r="J573" s="303"/>
      <c r="K573" s="303"/>
      <c r="L573" s="303"/>
      <c r="M573" s="303"/>
      <c r="N573" s="303"/>
      <c r="O573" s="303"/>
      <c r="P573" s="303"/>
      <c r="Q573" s="303"/>
      <c r="R573" s="331"/>
    </row>
    <row r="574" spans="3:18" ht="20.25">
      <c r="C574" s="304" t="s">
        <v>64</v>
      </c>
      <c r="D574" s="648" t="s">
        <v>631</v>
      </c>
      <c r="E574" s="649"/>
      <c r="F574" s="649"/>
      <c r="G574" s="649"/>
      <c r="H574" s="649"/>
      <c r="I574" s="649"/>
      <c r="J574" s="649"/>
      <c r="K574" s="650"/>
      <c r="L574" s="636" t="s">
        <v>623</v>
      </c>
      <c r="M574" s="636"/>
      <c r="N574" s="636"/>
      <c r="O574" s="152"/>
      <c r="P574" s="153">
        <f>R576</f>
        <v>6</v>
      </c>
      <c r="Q574" s="153"/>
      <c r="R574" s="154" t="s">
        <v>9</v>
      </c>
    </row>
    <row r="575" spans="3:18" ht="20.25">
      <c r="C575" s="303"/>
      <c r="D575" s="155" t="s">
        <v>462</v>
      </c>
      <c r="E575" s="337"/>
      <c r="F575" s="337"/>
      <c r="G575" s="337"/>
      <c r="H575" s="337"/>
      <c r="I575" s="337"/>
      <c r="J575" s="337"/>
      <c r="K575" s="337"/>
      <c r="L575" s="156"/>
      <c r="M575" s="152"/>
      <c r="N575" s="156"/>
      <c r="O575" s="152"/>
      <c r="P575" s="156"/>
      <c r="Q575" s="153"/>
      <c r="R575" s="157" t="s">
        <v>626</v>
      </c>
    </row>
    <row r="576" spans="3:18" ht="20.25">
      <c r="C576" s="303"/>
      <c r="D576" s="158" t="s">
        <v>632</v>
      </c>
      <c r="E576" s="337"/>
      <c r="F576" s="337"/>
      <c r="G576" s="337"/>
      <c r="H576" s="337"/>
      <c r="I576" s="337"/>
      <c r="J576" s="337"/>
      <c r="K576" s="337"/>
      <c r="L576" s="156"/>
      <c r="M576" s="152"/>
      <c r="N576" s="156"/>
      <c r="O576" s="152"/>
      <c r="P576" s="156"/>
      <c r="Q576" s="153"/>
      <c r="R576" s="162">
        <v>6</v>
      </c>
    </row>
    <row r="577" spans="3:18" ht="20.25">
      <c r="C577" s="303"/>
      <c r="D577" s="337"/>
      <c r="E577" s="337"/>
      <c r="F577" s="337"/>
      <c r="G577" s="337"/>
      <c r="H577" s="337"/>
      <c r="I577" s="337"/>
      <c r="J577" s="337"/>
      <c r="K577" s="337"/>
      <c r="L577" s="156"/>
      <c r="M577" s="152"/>
      <c r="N577" s="156"/>
      <c r="O577" s="152"/>
      <c r="P577" s="156"/>
      <c r="Q577" s="153"/>
      <c r="R577" s="157"/>
    </row>
    <row r="578" spans="3:18" ht="20.25">
      <c r="C578" s="304" t="s">
        <v>155</v>
      </c>
      <c r="D578" s="666" t="s">
        <v>622</v>
      </c>
      <c r="E578" s="667"/>
      <c r="F578" s="667"/>
      <c r="G578" s="667"/>
      <c r="H578" s="667"/>
      <c r="I578" s="667"/>
      <c r="J578" s="667"/>
      <c r="K578" s="668"/>
      <c r="L578" s="636" t="s">
        <v>623</v>
      </c>
      <c r="M578" s="636"/>
      <c r="N578" s="636"/>
      <c r="O578" s="152"/>
      <c r="P578" s="183">
        <f>SUM(R580)</f>
        <v>120</v>
      </c>
      <c r="Q578" s="153"/>
      <c r="R578" s="154" t="s">
        <v>9</v>
      </c>
    </row>
    <row r="579" spans="3:18" ht="20.25">
      <c r="C579" s="303"/>
      <c r="D579" s="155" t="s">
        <v>462</v>
      </c>
      <c r="E579" s="303"/>
      <c r="F579" s="303"/>
      <c r="G579" s="303"/>
      <c r="H579" s="303"/>
      <c r="I579" s="303"/>
      <c r="J579" s="303"/>
      <c r="K579" s="303"/>
      <c r="L579" s="156" t="s">
        <v>624</v>
      </c>
      <c r="M579" s="152"/>
      <c r="N579" s="156" t="s">
        <v>625</v>
      </c>
      <c r="O579" s="152"/>
      <c r="P579" s="156"/>
      <c r="Q579" s="153"/>
      <c r="R579" s="157" t="s">
        <v>626</v>
      </c>
    </row>
    <row r="580" spans="3:18" ht="20.25">
      <c r="C580" s="303"/>
      <c r="D580" s="158" t="s">
        <v>627</v>
      </c>
      <c r="E580" s="303"/>
      <c r="F580" s="303"/>
      <c r="G580" s="303"/>
      <c r="H580" s="303"/>
      <c r="I580" s="303"/>
      <c r="J580" s="303"/>
      <c r="K580" s="165"/>
      <c r="L580" s="165">
        <v>3</v>
      </c>
      <c r="M580" s="165"/>
      <c r="N580" s="165">
        <v>40</v>
      </c>
      <c r="O580" s="165"/>
      <c r="P580" s="165"/>
      <c r="Q580" s="165"/>
      <c r="R580" s="165">
        <f>L580*N580</f>
        <v>120</v>
      </c>
    </row>
    <row r="581" spans="3:18" ht="20.25">
      <c r="C581" s="303"/>
      <c r="D581" s="334"/>
      <c r="E581" s="303"/>
      <c r="F581" s="303"/>
      <c r="G581" s="303"/>
      <c r="H581" s="303"/>
      <c r="I581" s="303"/>
      <c r="J581" s="303"/>
      <c r="K581" s="303"/>
      <c r="L581" s="303"/>
      <c r="M581" s="303"/>
      <c r="N581" s="303"/>
      <c r="O581" s="303"/>
      <c r="P581" s="303"/>
      <c r="Q581" s="303"/>
      <c r="R581" s="331"/>
    </row>
    <row r="582" spans="3:18" ht="20.25">
      <c r="C582" s="304" t="s">
        <v>156</v>
      </c>
      <c r="D582" s="648" t="s">
        <v>636</v>
      </c>
      <c r="E582" s="649"/>
      <c r="F582" s="649"/>
      <c r="G582" s="649"/>
      <c r="H582" s="649"/>
      <c r="I582" s="649"/>
      <c r="J582" s="649"/>
      <c r="K582" s="650"/>
      <c r="L582" s="651" t="s">
        <v>623</v>
      </c>
      <c r="M582" s="652"/>
      <c r="N582" s="653"/>
      <c r="O582" s="152"/>
      <c r="P582" s="153">
        <f>SUM(R584)</f>
        <v>341</v>
      </c>
      <c r="Q582" s="153"/>
      <c r="R582" s="154" t="s">
        <v>9</v>
      </c>
    </row>
    <row r="583" spans="3:18" ht="20.25">
      <c r="C583" s="303"/>
      <c r="D583" s="155" t="s">
        <v>462</v>
      </c>
      <c r="E583" s="303"/>
      <c r="F583" s="303"/>
      <c r="G583" s="303"/>
      <c r="H583" s="303"/>
      <c r="I583" s="303"/>
      <c r="J583" s="303"/>
      <c r="K583" s="303"/>
      <c r="L583" s="156"/>
      <c r="M583" s="152"/>
      <c r="N583" s="156" t="s">
        <v>625</v>
      </c>
      <c r="O583" s="152"/>
      <c r="P583" s="156" t="s">
        <v>637</v>
      </c>
      <c r="Q583" s="153"/>
      <c r="R583" s="157" t="s">
        <v>626</v>
      </c>
    </row>
    <row r="584" spans="3:18" ht="20.25">
      <c r="C584" s="303"/>
      <c r="D584" s="158" t="s">
        <v>662</v>
      </c>
      <c r="E584" s="303"/>
      <c r="F584" s="303"/>
      <c r="G584" s="303"/>
      <c r="H584" s="303"/>
      <c r="I584" s="303"/>
      <c r="J584" s="303"/>
      <c r="K584" s="162"/>
      <c r="L584" s="163"/>
      <c r="M584" s="164"/>
      <c r="N584" s="165">
        <v>155</v>
      </c>
      <c r="O584" s="165"/>
      <c r="P584" s="165">
        <v>2.2000000000000002</v>
      </c>
      <c r="Q584" s="165"/>
      <c r="R584" s="165">
        <f>N584*P584</f>
        <v>341</v>
      </c>
    </row>
    <row r="585" spans="3:18" ht="20.25">
      <c r="C585" s="303"/>
      <c r="D585" s="158"/>
      <c r="E585" s="303"/>
      <c r="F585" s="303"/>
      <c r="G585" s="303"/>
      <c r="H585" s="303"/>
      <c r="I585" s="303"/>
      <c r="J585" s="303"/>
      <c r="K585" s="162"/>
      <c r="L585" s="163"/>
      <c r="M585" s="164"/>
      <c r="N585" s="165"/>
      <c r="O585" s="303"/>
      <c r="P585" s="303"/>
      <c r="Q585" s="303"/>
      <c r="R585" s="333"/>
    </row>
    <row r="586" spans="3:18" ht="20.25">
      <c r="C586" s="304" t="s">
        <v>452</v>
      </c>
      <c r="D586" s="648" t="s">
        <v>938</v>
      </c>
      <c r="E586" s="649"/>
      <c r="F586" s="649"/>
      <c r="G586" s="649"/>
      <c r="H586" s="649"/>
      <c r="I586" s="649"/>
      <c r="J586" s="649"/>
      <c r="K586" s="650"/>
      <c r="L586" s="651" t="s">
        <v>623</v>
      </c>
      <c r="M586" s="652"/>
      <c r="N586" s="653"/>
      <c r="O586" s="152"/>
      <c r="P586" s="153">
        <f>SUM(R588:R589)</f>
        <v>134</v>
      </c>
      <c r="Q586" s="153"/>
      <c r="R586" s="154" t="s">
        <v>9</v>
      </c>
    </row>
    <row r="587" spans="3:18" ht="20.25">
      <c r="C587" s="169"/>
      <c r="D587" s="155" t="s">
        <v>640</v>
      </c>
      <c r="E587" s="192"/>
      <c r="F587" s="192"/>
      <c r="G587" s="192"/>
      <c r="H587" s="192"/>
      <c r="I587" s="155"/>
      <c r="J587" s="155"/>
      <c r="K587" s="298" t="s">
        <v>920</v>
      </c>
      <c r="L587" s="156" t="s">
        <v>921</v>
      </c>
      <c r="M587" s="156"/>
      <c r="N587" s="299"/>
      <c r="O587" s="156"/>
      <c r="P587" s="157" t="s">
        <v>868</v>
      </c>
      <c r="Q587" s="300"/>
      <c r="R587" s="157" t="s">
        <v>811</v>
      </c>
    </row>
    <row r="588" spans="3:18" ht="20.25">
      <c r="C588" s="169"/>
      <c r="D588" s="155" t="s">
        <v>922</v>
      </c>
      <c r="E588" s="192"/>
      <c r="F588" s="192"/>
      <c r="G588" s="192"/>
      <c r="H588" s="192"/>
      <c r="I588" s="155"/>
      <c r="J588" s="155"/>
      <c r="K588" s="155">
        <v>1</v>
      </c>
      <c r="L588" s="164">
        <v>4</v>
      </c>
      <c r="M588" s="164"/>
      <c r="N588" s="301"/>
      <c r="O588" s="164"/>
      <c r="P588" s="162">
        <v>110</v>
      </c>
      <c r="Q588" s="173"/>
      <c r="R588" s="164">
        <f>P588*K588</f>
        <v>110</v>
      </c>
    </row>
    <row r="589" spans="3:18" ht="20.25">
      <c r="C589" s="169"/>
      <c r="D589" s="155" t="s">
        <v>923</v>
      </c>
      <c r="E589" s="192"/>
      <c r="F589" s="192"/>
      <c r="G589" s="192"/>
      <c r="H589" s="192"/>
      <c r="I589" s="155"/>
      <c r="J589" s="155"/>
      <c r="K589" s="155">
        <v>1</v>
      </c>
      <c r="L589" s="164">
        <v>4</v>
      </c>
      <c r="M589" s="164"/>
      <c r="N589" s="301"/>
      <c r="O589" s="164"/>
      <c r="P589" s="162">
        <v>24</v>
      </c>
      <c r="Q589" s="173"/>
      <c r="R589" s="164">
        <f>P589*K589</f>
        <v>24</v>
      </c>
    </row>
    <row r="590" spans="3:18" ht="20.25">
      <c r="C590" s="169"/>
      <c r="D590" s="155"/>
      <c r="E590" s="192"/>
      <c r="F590" s="192"/>
      <c r="G590" s="192"/>
      <c r="H590" s="192"/>
      <c r="I590" s="155"/>
      <c r="J590" s="155"/>
      <c r="K590" s="155"/>
      <c r="L590" s="164"/>
      <c r="M590" s="164"/>
      <c r="N590" s="301"/>
      <c r="O590" s="164"/>
      <c r="P590" s="162"/>
      <c r="Q590" s="173"/>
      <c r="R590" s="164"/>
    </row>
    <row r="591" spans="3:18" ht="20.25">
      <c r="C591" s="304" t="s">
        <v>157</v>
      </c>
      <c r="D591" s="648" t="s">
        <v>116</v>
      </c>
      <c r="E591" s="649"/>
      <c r="F591" s="649"/>
      <c r="G591" s="649"/>
      <c r="H591" s="649"/>
      <c r="I591" s="649"/>
      <c r="J591" s="649"/>
      <c r="K591" s="650"/>
      <c r="L591" s="651" t="s">
        <v>623</v>
      </c>
      <c r="M591" s="652"/>
      <c r="N591" s="653"/>
      <c r="O591" s="152"/>
      <c r="P591" s="153">
        <f>SUM(R593:R594)</f>
        <v>100</v>
      </c>
      <c r="Q591" s="153"/>
      <c r="R591" s="154" t="s">
        <v>9</v>
      </c>
    </row>
    <row r="592" spans="3:18" ht="20.25">
      <c r="C592" s="169"/>
      <c r="D592" s="155" t="s">
        <v>640</v>
      </c>
      <c r="E592" s="192"/>
      <c r="F592" s="192"/>
      <c r="G592" s="192"/>
      <c r="H592" s="192"/>
      <c r="I592" s="155"/>
      <c r="J592" s="155"/>
      <c r="K592" s="298"/>
      <c r="L592" s="156"/>
      <c r="M592" s="156"/>
      <c r="N592" s="299"/>
      <c r="O592" s="156"/>
      <c r="P592" s="157"/>
      <c r="Q592" s="300"/>
      <c r="R592" s="157" t="s">
        <v>811</v>
      </c>
    </row>
    <row r="593" spans="3:18" ht="20.25">
      <c r="C593" s="169"/>
      <c r="D593" s="155" t="s">
        <v>958</v>
      </c>
      <c r="E593" s="192"/>
      <c r="F593" s="192"/>
      <c r="G593" s="192"/>
      <c r="H593" s="192"/>
      <c r="I593" s="155"/>
      <c r="J593" s="155"/>
      <c r="K593" s="155"/>
      <c r="L593" s="164"/>
      <c r="M593" s="164"/>
      <c r="N593" s="301"/>
      <c r="O593" s="164"/>
      <c r="P593" s="162"/>
      <c r="Q593" s="173"/>
      <c r="R593" s="164">
        <v>100</v>
      </c>
    </row>
    <row r="594" spans="3:18" ht="20.25">
      <c r="C594" s="169"/>
      <c r="D594" s="155"/>
      <c r="E594" s="192"/>
      <c r="F594" s="192"/>
      <c r="G594" s="192"/>
      <c r="H594" s="192"/>
      <c r="I594" s="155"/>
      <c r="J594" s="155"/>
      <c r="K594" s="155"/>
      <c r="L594" s="164"/>
      <c r="M594" s="164"/>
      <c r="N594" s="301"/>
      <c r="O594" s="164"/>
      <c r="P594" s="162"/>
      <c r="Q594" s="173"/>
      <c r="R594" s="164"/>
    </row>
    <row r="595" spans="3:18" ht="20.25">
      <c r="C595" s="169"/>
      <c r="D595" s="155"/>
      <c r="E595" s="192"/>
      <c r="F595" s="192"/>
      <c r="G595" s="192"/>
      <c r="H595" s="192"/>
      <c r="I595" s="155"/>
      <c r="J595" s="155"/>
      <c r="K595" s="155"/>
      <c r="L595" s="164"/>
      <c r="M595" s="164"/>
      <c r="N595" s="301"/>
      <c r="O595" s="164"/>
      <c r="P595" s="162"/>
      <c r="Q595" s="173"/>
      <c r="R595" s="164"/>
    </row>
    <row r="596" spans="3:18" ht="20.25">
      <c r="C596" s="304" t="s">
        <v>158</v>
      </c>
      <c r="D596" s="648"/>
      <c r="E596" s="649"/>
      <c r="F596" s="649"/>
      <c r="G596" s="649"/>
      <c r="H596" s="649"/>
      <c r="I596" s="649"/>
      <c r="J596" s="649"/>
      <c r="K596" s="650"/>
      <c r="L596" s="651" t="s">
        <v>623</v>
      </c>
      <c r="M596" s="652"/>
      <c r="N596" s="653"/>
      <c r="O596" s="152"/>
      <c r="P596" s="153">
        <f>SUM(R598:R607)*2</f>
        <v>146.45700000000002</v>
      </c>
      <c r="Q596" s="153"/>
      <c r="R596" s="154" t="s">
        <v>61</v>
      </c>
    </row>
    <row r="597" spans="3:18" ht="20.25">
      <c r="C597" s="169"/>
      <c r="D597" s="155" t="s">
        <v>640</v>
      </c>
      <c r="E597" s="192"/>
      <c r="F597" s="192"/>
      <c r="G597" s="192"/>
      <c r="H597" s="192"/>
      <c r="I597" s="155"/>
      <c r="J597" s="298" t="s">
        <v>1075</v>
      </c>
      <c r="K597" s="298" t="s">
        <v>642</v>
      </c>
      <c r="L597" s="156" t="s">
        <v>1070</v>
      </c>
      <c r="M597" s="156"/>
      <c r="N597" s="299" t="s">
        <v>637</v>
      </c>
      <c r="O597" s="156"/>
      <c r="P597" s="157" t="s">
        <v>811</v>
      </c>
      <c r="Q597" s="300"/>
      <c r="R597" s="157" t="s">
        <v>1065</v>
      </c>
    </row>
    <row r="598" spans="3:18" ht="20.25">
      <c r="C598" s="303"/>
      <c r="D598" s="158" t="s">
        <v>663</v>
      </c>
      <c r="E598" s="303"/>
      <c r="F598" s="303"/>
      <c r="G598" s="303"/>
      <c r="H598" s="303"/>
      <c r="I598" s="303"/>
      <c r="J598" s="334">
        <v>7.0000000000000007E-2</v>
      </c>
      <c r="K598" s="162"/>
      <c r="L598" s="163"/>
      <c r="M598" s="164"/>
      <c r="N598" s="165"/>
      <c r="O598" s="303"/>
      <c r="P598" s="333">
        <v>600</v>
      </c>
      <c r="Q598" s="303"/>
      <c r="R598" s="333">
        <f t="shared" ref="R598:R602" si="7">J598*P598</f>
        <v>42.000000000000007</v>
      </c>
    </row>
    <row r="599" spans="3:18" ht="20.25">
      <c r="C599" s="303"/>
      <c r="D599" s="158" t="s">
        <v>1066</v>
      </c>
      <c r="E599" s="303"/>
      <c r="F599" s="303"/>
      <c r="G599" s="303"/>
      <c r="H599" s="303"/>
      <c r="I599" s="303"/>
      <c r="J599" s="334">
        <v>0.03</v>
      </c>
      <c r="K599" s="162"/>
      <c r="L599" s="163"/>
      <c r="M599" s="164"/>
      <c r="N599" s="165"/>
      <c r="O599" s="303"/>
      <c r="P599" s="333">
        <v>55</v>
      </c>
      <c r="Q599" s="303"/>
      <c r="R599" s="333">
        <f t="shared" si="7"/>
        <v>1.65</v>
      </c>
    </row>
    <row r="600" spans="3:18" ht="20.25">
      <c r="C600" s="303"/>
      <c r="D600" s="158" t="s">
        <v>1067</v>
      </c>
      <c r="E600" s="303"/>
      <c r="F600" s="303"/>
      <c r="G600" s="303"/>
      <c r="H600" s="303"/>
      <c r="I600" s="303"/>
      <c r="J600" s="334">
        <v>0.03</v>
      </c>
      <c r="K600" s="162"/>
      <c r="L600" s="163"/>
      <c r="M600" s="164"/>
      <c r="N600" s="165"/>
      <c r="O600" s="303"/>
      <c r="P600" s="333">
        <v>55</v>
      </c>
      <c r="Q600" s="303"/>
      <c r="R600" s="333">
        <f t="shared" si="7"/>
        <v>1.65</v>
      </c>
    </row>
    <row r="601" spans="3:18" ht="20.25">
      <c r="C601" s="303"/>
      <c r="D601" s="158" t="s">
        <v>1068</v>
      </c>
      <c r="E601" s="303"/>
      <c r="F601" s="303"/>
      <c r="G601" s="303"/>
      <c r="H601" s="303"/>
      <c r="I601" s="303"/>
      <c r="J601" s="334">
        <v>0.09</v>
      </c>
      <c r="K601" s="162"/>
      <c r="L601" s="165">
        <f>28+7.5</f>
        <v>35.5</v>
      </c>
      <c r="M601" s="303"/>
      <c r="N601" s="334">
        <v>3</v>
      </c>
      <c r="O601" s="303"/>
      <c r="P601" s="333">
        <f>L601*N601</f>
        <v>106.5</v>
      </c>
      <c r="Q601" s="303"/>
      <c r="R601" s="333">
        <f t="shared" si="7"/>
        <v>9.5849999999999991</v>
      </c>
    </row>
    <row r="602" spans="3:18" ht="20.25">
      <c r="C602" s="303"/>
      <c r="D602" s="158" t="s">
        <v>1069</v>
      </c>
      <c r="E602" s="303"/>
      <c r="F602" s="303"/>
      <c r="G602" s="303"/>
      <c r="H602" s="303"/>
      <c r="I602" s="303"/>
      <c r="J602" s="334">
        <v>0.09</v>
      </c>
      <c r="K602" s="162"/>
      <c r="L602" s="165">
        <f>23*2</f>
        <v>46</v>
      </c>
      <c r="M602" s="303"/>
      <c r="N602" s="334">
        <v>0.5</v>
      </c>
      <c r="O602" s="303"/>
      <c r="P602" s="333">
        <f>L602*N602</f>
        <v>23</v>
      </c>
      <c r="Q602" s="303"/>
      <c r="R602" s="333">
        <f t="shared" si="7"/>
        <v>2.0699999999999998</v>
      </c>
    </row>
    <row r="603" spans="3:18" ht="20.25">
      <c r="C603" s="303"/>
      <c r="D603" s="158" t="s">
        <v>1071</v>
      </c>
      <c r="E603" s="303"/>
      <c r="F603" s="303"/>
      <c r="G603" s="303"/>
      <c r="H603" s="303"/>
      <c r="I603" s="303"/>
      <c r="J603" s="334"/>
      <c r="K603" s="162"/>
      <c r="L603" s="163"/>
      <c r="M603" s="164"/>
      <c r="N603" s="165"/>
      <c r="O603" s="303"/>
      <c r="P603" s="334"/>
      <c r="Q603" s="303"/>
      <c r="R603" s="333">
        <f>6*0.045</f>
        <v>0.27</v>
      </c>
    </row>
    <row r="604" spans="3:18" ht="20.25">
      <c r="C604" s="303"/>
      <c r="D604" s="158" t="s">
        <v>1072</v>
      </c>
      <c r="E604" s="303"/>
      <c r="F604" s="303"/>
      <c r="G604" s="303"/>
      <c r="H604" s="303"/>
      <c r="I604" s="303"/>
      <c r="J604" s="334"/>
      <c r="K604" s="162"/>
      <c r="L604" s="163"/>
      <c r="M604" s="164"/>
      <c r="N604" s="165"/>
      <c r="O604" s="303"/>
      <c r="P604" s="334"/>
      <c r="Q604" s="303"/>
      <c r="R604" s="333">
        <f>35.5*0.045</f>
        <v>1.5974999999999999</v>
      </c>
    </row>
    <row r="605" spans="3:18" ht="20.25">
      <c r="C605" s="303"/>
      <c r="D605" s="158" t="s">
        <v>674</v>
      </c>
      <c r="E605" s="303"/>
      <c r="F605" s="303"/>
      <c r="G605" s="303"/>
      <c r="H605" s="303"/>
      <c r="I605" s="303"/>
      <c r="J605" s="334">
        <v>0.15</v>
      </c>
      <c r="K605" s="162"/>
      <c r="L605" s="163"/>
      <c r="M605" s="164"/>
      <c r="N605" s="165"/>
      <c r="O605" s="303"/>
      <c r="P605" s="333">
        <v>55</v>
      </c>
      <c r="Q605" s="303"/>
      <c r="R605" s="333">
        <f>J605*P605</f>
        <v>8.25</v>
      </c>
    </row>
    <row r="606" spans="3:18" ht="20.25">
      <c r="C606" s="303"/>
      <c r="D606" s="158" t="s">
        <v>1073</v>
      </c>
      <c r="E606" s="303"/>
      <c r="F606" s="303"/>
      <c r="G606" s="303"/>
      <c r="H606" s="303"/>
      <c r="I606" s="303"/>
      <c r="J606" s="334">
        <v>0.03</v>
      </c>
      <c r="K606" s="162"/>
      <c r="L606" s="165">
        <v>14</v>
      </c>
      <c r="M606" s="303"/>
      <c r="N606" s="334">
        <v>1.8</v>
      </c>
      <c r="O606" s="303"/>
      <c r="P606" s="333">
        <f>L606*N606</f>
        <v>25.2</v>
      </c>
      <c r="Q606" s="303"/>
      <c r="R606" s="333">
        <f>J606*P606</f>
        <v>0.75600000000000001</v>
      </c>
    </row>
    <row r="607" spans="3:18" ht="20.25">
      <c r="C607" s="303"/>
      <c r="D607" s="158" t="s">
        <v>1074</v>
      </c>
      <c r="E607" s="303"/>
      <c r="F607" s="303"/>
      <c r="G607" s="303"/>
      <c r="H607" s="303"/>
      <c r="I607" s="303"/>
      <c r="J607" s="334"/>
      <c r="K607" s="162">
        <v>0.15</v>
      </c>
      <c r="L607" s="163">
        <v>120</v>
      </c>
      <c r="M607" s="164"/>
      <c r="N607" s="165">
        <v>0.3</v>
      </c>
      <c r="O607" s="303"/>
      <c r="P607" s="334"/>
      <c r="Q607" s="303"/>
      <c r="R607" s="333">
        <f>K607*L607*N607</f>
        <v>5.3999999999999995</v>
      </c>
    </row>
    <row r="608" spans="3:18" ht="20.25">
      <c r="C608" s="303"/>
      <c r="D608" s="158"/>
      <c r="E608" s="303"/>
      <c r="F608" s="303"/>
      <c r="G608" s="303"/>
      <c r="H608" s="303"/>
      <c r="I608" s="303"/>
      <c r="J608" s="303"/>
      <c r="K608" s="162"/>
      <c r="L608" s="163"/>
      <c r="M608" s="164"/>
      <c r="N608" s="165"/>
      <c r="O608" s="303"/>
      <c r="P608" s="333"/>
      <c r="Q608" s="303"/>
      <c r="R608" s="333"/>
    </row>
  </sheetData>
  <mergeCells count="244">
    <mergeCell ref="D427:R427"/>
    <mergeCell ref="D147:K147"/>
    <mergeCell ref="L147:N147"/>
    <mergeCell ref="D152:K152"/>
    <mergeCell ref="L152:N152"/>
    <mergeCell ref="D161:R161"/>
    <mergeCell ref="D157:K157"/>
    <mergeCell ref="L157:N157"/>
    <mergeCell ref="D591:K591"/>
    <mergeCell ref="L591:N591"/>
    <mergeCell ref="D484:R484"/>
    <mergeCell ref="D487:K487"/>
    <mergeCell ref="L487:N487"/>
    <mergeCell ref="D489:R489"/>
    <mergeCell ref="D492:K492"/>
    <mergeCell ref="L492:N492"/>
    <mergeCell ref="D494:R494"/>
    <mergeCell ref="D517:K517"/>
    <mergeCell ref="D433:R433"/>
    <mergeCell ref="D442:K442"/>
    <mergeCell ref="L442:N442"/>
    <mergeCell ref="D586:K586"/>
    <mergeCell ref="L586:N586"/>
    <mergeCell ref="L517:N517"/>
    <mergeCell ref="D519:R519"/>
    <mergeCell ref="D522:K522"/>
    <mergeCell ref="L522:N522"/>
    <mergeCell ref="D574:K574"/>
    <mergeCell ref="D359:R359"/>
    <mergeCell ref="D307:K307"/>
    <mergeCell ref="L307:N307"/>
    <mergeCell ref="D378:R378"/>
    <mergeCell ref="D389:R389"/>
    <mergeCell ref="D364:R364"/>
    <mergeCell ref="D326:R326"/>
    <mergeCell ref="D340:R340"/>
    <mergeCell ref="D375:R375"/>
    <mergeCell ref="D339:K339"/>
    <mergeCell ref="D304:R304"/>
    <mergeCell ref="D439:R439"/>
    <mergeCell ref="D224:R224"/>
    <mergeCell ref="D314:R314"/>
    <mergeCell ref="D324:K324"/>
    <mergeCell ref="L324:N324"/>
    <mergeCell ref="D282:R282"/>
    <mergeCell ref="D291:R291"/>
    <mergeCell ref="D299:K299"/>
    <mergeCell ref="D355:N355"/>
    <mergeCell ref="L299:N299"/>
    <mergeCell ref="D363:K363"/>
    <mergeCell ref="L363:N363"/>
    <mergeCell ref="D347:K347"/>
    <mergeCell ref="L347:N347"/>
    <mergeCell ref="D348:R348"/>
    <mergeCell ref="L312:N312"/>
    <mergeCell ref="D335:K335"/>
    <mergeCell ref="L335:N335"/>
    <mergeCell ref="D301:R301"/>
    <mergeCell ref="C3:R3"/>
    <mergeCell ref="C4:R4"/>
    <mergeCell ref="D569:R569"/>
    <mergeCell ref="D578:K578"/>
    <mergeCell ref="L578:N578"/>
    <mergeCell ref="D6:K6"/>
    <mergeCell ref="L6:N6"/>
    <mergeCell ref="D247:R247"/>
    <mergeCell ref="D251:R251"/>
    <mergeCell ref="D257:R257"/>
    <mergeCell ref="L574:N574"/>
    <mergeCell ref="D11:K11"/>
    <mergeCell ref="L11:N11"/>
    <mergeCell ref="D582:K582"/>
    <mergeCell ref="L582:N582"/>
    <mergeCell ref="D235:R235"/>
    <mergeCell ref="D261:R261"/>
    <mergeCell ref="D268:R268"/>
    <mergeCell ref="D272:R272"/>
    <mergeCell ref="D98:R98"/>
    <mergeCell ref="D99:K99"/>
    <mergeCell ref="L99:N99"/>
    <mergeCell ref="D91:K91"/>
    <mergeCell ref="L91:N91"/>
    <mergeCell ref="D73:R73"/>
    <mergeCell ref="D128:K128"/>
    <mergeCell ref="L128:N128"/>
    <mergeCell ref="D233:R233"/>
    <mergeCell ref="D234:K234"/>
    <mergeCell ref="L234:N234"/>
    <mergeCell ref="D245:K245"/>
    <mergeCell ref="L245:N245"/>
    <mergeCell ref="D185:R185"/>
    <mergeCell ref="D203:K203"/>
    <mergeCell ref="L203:N203"/>
    <mergeCell ref="D208:K208"/>
    <mergeCell ref="L208:N208"/>
    <mergeCell ref="D266:K266"/>
    <mergeCell ref="L266:N266"/>
    <mergeCell ref="D281:K281"/>
    <mergeCell ref="L281:N281"/>
    <mergeCell ref="D278:R278"/>
    <mergeCell ref="D260:K260"/>
    <mergeCell ref="D65:K65"/>
    <mergeCell ref="L65:N65"/>
    <mergeCell ref="D69:K69"/>
    <mergeCell ref="L339:N339"/>
    <mergeCell ref="L358:N358"/>
    <mergeCell ref="D290:K290"/>
    <mergeCell ref="L290:N290"/>
    <mergeCell ref="D311:R311"/>
    <mergeCell ref="D312:K312"/>
    <mergeCell ref="L260:N260"/>
    <mergeCell ref="D44:K44"/>
    <mergeCell ref="D132:K132"/>
    <mergeCell ref="L132:N132"/>
    <mergeCell ref="D186:K186"/>
    <mergeCell ref="L186:N186"/>
    <mergeCell ref="D162:K162"/>
    <mergeCell ref="L162:N162"/>
    <mergeCell ref="D181:K181"/>
    <mergeCell ref="D52:K52"/>
    <mergeCell ref="L52:N52"/>
    <mergeCell ref="D167:K167"/>
    <mergeCell ref="L167:N167"/>
    <mergeCell ref="D172:K172"/>
    <mergeCell ref="L172:N172"/>
    <mergeCell ref="D176:K176"/>
    <mergeCell ref="L176:N176"/>
    <mergeCell ref="L398:N398"/>
    <mergeCell ref="D425:K425"/>
    <mergeCell ref="L425:N425"/>
    <mergeCell ref="D399:R399"/>
    <mergeCell ref="D407:K407"/>
    <mergeCell ref="L407:N407"/>
    <mergeCell ref="D408:R408"/>
    <mergeCell ref="D416:K416"/>
    <mergeCell ref="L416:N416"/>
    <mergeCell ref="D417:R417"/>
    <mergeCell ref="L69:N69"/>
    <mergeCell ref="D387:K387"/>
    <mergeCell ref="L387:N387"/>
    <mergeCell ref="D376:K376"/>
    <mergeCell ref="L376:N376"/>
    <mergeCell ref="D5:R5"/>
    <mergeCell ref="D124:K124"/>
    <mergeCell ref="L124:N124"/>
    <mergeCell ref="D101:R101"/>
    <mergeCell ref="D111:R111"/>
    <mergeCell ref="D17:K17"/>
    <mergeCell ref="D60:K60"/>
    <mergeCell ref="L60:N60"/>
    <mergeCell ref="L17:N17"/>
    <mergeCell ref="D26:K26"/>
    <mergeCell ref="D30:K30"/>
    <mergeCell ref="L30:N30"/>
    <mergeCell ref="D40:K40"/>
    <mergeCell ref="L40:N40"/>
    <mergeCell ref="L26:N26"/>
    <mergeCell ref="D570:K570"/>
    <mergeCell ref="L570:N570"/>
    <mergeCell ref="D459:K459"/>
    <mergeCell ref="L459:N459"/>
    <mergeCell ref="D444:R444"/>
    <mergeCell ref="D450:R450"/>
    <mergeCell ref="D499:R499"/>
    <mergeCell ref="L497:N497"/>
    <mergeCell ref="D497:K497"/>
    <mergeCell ref="D512:K512"/>
    <mergeCell ref="D137:K137"/>
    <mergeCell ref="L137:N137"/>
    <mergeCell ref="L80:N80"/>
    <mergeCell ref="D82:R82"/>
    <mergeCell ref="D85:R85"/>
    <mergeCell ref="L44:N44"/>
    <mergeCell ref="D48:K48"/>
    <mergeCell ref="L48:N48"/>
    <mergeCell ref="D56:K56"/>
    <mergeCell ref="L56:N56"/>
    <mergeCell ref="L190:N190"/>
    <mergeCell ref="D215:R215"/>
    <mergeCell ref="D216:K216"/>
    <mergeCell ref="L216:N216"/>
    <mergeCell ref="D221:R221"/>
    <mergeCell ref="D21:K21"/>
    <mergeCell ref="L21:N21"/>
    <mergeCell ref="D34:K34"/>
    <mergeCell ref="L34:N34"/>
    <mergeCell ref="D136:R136"/>
    <mergeCell ref="D222:K222"/>
    <mergeCell ref="L222:N222"/>
    <mergeCell ref="D481:R481"/>
    <mergeCell ref="D482:K482"/>
    <mergeCell ref="L482:N482"/>
    <mergeCell ref="D461:R461"/>
    <mergeCell ref="D467:R467"/>
    <mergeCell ref="D476:K476"/>
    <mergeCell ref="L476:N476"/>
    <mergeCell ref="D398:K398"/>
    <mergeCell ref="L512:N512"/>
    <mergeCell ref="D514:R514"/>
    <mergeCell ref="D509:R509"/>
    <mergeCell ref="D502:K502"/>
    <mergeCell ref="L502:N502"/>
    <mergeCell ref="D504:R504"/>
    <mergeCell ref="D507:K507"/>
    <mergeCell ref="L507:N507"/>
    <mergeCell ref="D524:R524"/>
    <mergeCell ref="D527:K527"/>
    <mergeCell ref="L527:N527"/>
    <mergeCell ref="D529:R529"/>
    <mergeCell ref="D533:K533"/>
    <mergeCell ref="L533:N533"/>
    <mergeCell ref="D535:R535"/>
    <mergeCell ref="D539:K539"/>
    <mergeCell ref="L539:N539"/>
    <mergeCell ref="D541:R541"/>
    <mergeCell ref="L556:N556"/>
    <mergeCell ref="D558:R558"/>
    <mergeCell ref="D562:K562"/>
    <mergeCell ref="L562:N562"/>
    <mergeCell ref="D545:K545"/>
    <mergeCell ref="L545:N545"/>
    <mergeCell ref="D547:R547"/>
    <mergeCell ref="D550:K550"/>
    <mergeCell ref="L550:N550"/>
    <mergeCell ref="D564:R564"/>
    <mergeCell ref="D596:K596"/>
    <mergeCell ref="L596:N596"/>
    <mergeCell ref="D456:R456"/>
    <mergeCell ref="D472:R472"/>
    <mergeCell ref="D369:K369"/>
    <mergeCell ref="L369:N369"/>
    <mergeCell ref="D370:R370"/>
    <mergeCell ref="D552:R552"/>
    <mergeCell ref="D556:K556"/>
    <mergeCell ref="L181:N181"/>
    <mergeCell ref="D195:K195"/>
    <mergeCell ref="L195:N195"/>
    <mergeCell ref="D199:K199"/>
    <mergeCell ref="L199:N199"/>
    <mergeCell ref="D74:K74"/>
    <mergeCell ref="L74:N74"/>
    <mergeCell ref="D76:R76"/>
    <mergeCell ref="D80:K80"/>
    <mergeCell ref="D190:K190"/>
  </mergeCells>
  <pageMargins left="0.51181102362204722" right="0.51181102362204722" top="0.78740157480314965" bottom="0.78740157480314965" header="0.31496062992125984" footer="0.31496062992125984"/>
  <pageSetup paperSize="9" scale="4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3:M76"/>
  <sheetViews>
    <sheetView zoomScale="115" zoomScaleNormal="115" workbookViewId="0">
      <selection activeCell="D19" sqref="D19"/>
    </sheetView>
  </sheetViews>
  <sheetFormatPr defaultRowHeight="12.75"/>
  <cols>
    <col min="4" max="4" width="15.42578125" bestFit="1" customWidth="1"/>
    <col min="5" max="6" width="12.28515625" bestFit="1" customWidth="1"/>
    <col min="7" max="7" width="11.140625" bestFit="1" customWidth="1"/>
    <col min="8" max="8" width="18.28515625" customWidth="1"/>
    <col min="9" max="9" width="15.85546875" bestFit="1" customWidth="1"/>
    <col min="10" max="10" width="23.7109375" bestFit="1" customWidth="1"/>
    <col min="11" max="11" width="16.42578125" bestFit="1" customWidth="1"/>
    <col min="12" max="12" width="10.42578125" customWidth="1"/>
    <col min="13" max="13" width="24.7109375" bestFit="1" customWidth="1"/>
    <col min="14" max="14" width="10.140625" bestFit="1" customWidth="1"/>
  </cols>
  <sheetData>
    <row r="3" spans="3:10">
      <c r="C3" s="684" t="s">
        <v>1130</v>
      </c>
      <c r="D3" s="684"/>
      <c r="E3" s="684"/>
      <c r="F3" s="684"/>
      <c r="G3" s="684"/>
      <c r="H3" s="683" t="s">
        <v>1204</v>
      </c>
    </row>
    <row r="4" spans="3:10">
      <c r="C4" s="195" t="s">
        <v>1131</v>
      </c>
      <c r="D4" s="195" t="s">
        <v>1132</v>
      </c>
      <c r="E4" s="195" t="s">
        <v>1133</v>
      </c>
      <c r="F4" s="195" t="s">
        <v>1134</v>
      </c>
      <c r="G4" s="195" t="s">
        <v>1135</v>
      </c>
      <c r="H4" s="683"/>
    </row>
    <row r="5" spans="3:10">
      <c r="C5" s="195" t="s">
        <v>1136</v>
      </c>
      <c r="D5" s="202">
        <f>SUM(PRODUCT(3,2),-PRODUCT(0.3,2),59.817,0.2)</f>
        <v>65.417000000000002</v>
      </c>
      <c r="E5" s="202">
        <v>0.3</v>
      </c>
      <c r="F5" s="202">
        <v>0.25</v>
      </c>
      <c r="G5" s="344">
        <f>PRODUCT(D5,E5,F5)</f>
        <v>4.9062749999999999</v>
      </c>
      <c r="H5" s="195">
        <f>D5*E5</f>
        <v>19.6251</v>
      </c>
    </row>
    <row r="6" spans="3:10">
      <c r="C6" s="195" t="s">
        <v>1137</v>
      </c>
      <c r="D6" s="202">
        <f>SUM(PRODUCT(7.69,15),PRODUCT(2,70.25),5.4,PRODUCT(0.82,2),1.79,PRODUCT(1.75,2),2.2,2.7)</f>
        <v>273.08</v>
      </c>
      <c r="E6" s="202">
        <v>0.5</v>
      </c>
      <c r="F6" s="202">
        <v>0.5</v>
      </c>
      <c r="G6" s="344">
        <f>PRODUCT(D6,E6,F6)</f>
        <v>68.27</v>
      </c>
      <c r="H6" s="195">
        <f>D6*E6</f>
        <v>136.54</v>
      </c>
    </row>
    <row r="7" spans="3:10" ht="15">
      <c r="F7" s="345" t="s">
        <v>716</v>
      </c>
      <c r="G7" s="346">
        <f>SUM(G5:G6)</f>
        <v>73.17627499999999</v>
      </c>
      <c r="H7" s="195">
        <f>SUM(H5:H6)</f>
        <v>156.1651</v>
      </c>
    </row>
    <row r="9" spans="3:10">
      <c r="C9" s="684" t="s">
        <v>1138</v>
      </c>
      <c r="D9" s="684"/>
      <c r="E9" s="684"/>
      <c r="F9" s="684"/>
    </row>
    <row r="10" spans="3:10">
      <c r="C10" s="195" t="s">
        <v>1131</v>
      </c>
      <c r="D10" s="195" t="s">
        <v>1132</v>
      </c>
      <c r="E10" s="195" t="s">
        <v>1134</v>
      </c>
      <c r="F10" s="195" t="s">
        <v>1139</v>
      </c>
    </row>
    <row r="11" spans="3:10">
      <c r="C11" s="195" t="s">
        <v>1136</v>
      </c>
      <c r="D11" s="202">
        <f>SUM(PRODUCT(3,2),-PRODUCT(0.3,2),59.817,0.2)</f>
        <v>65.417000000000002</v>
      </c>
      <c r="E11" s="202">
        <v>0.1</v>
      </c>
      <c r="F11" s="202">
        <f>PRODUCT(D11,E11)</f>
        <v>6.5417000000000005</v>
      </c>
    </row>
    <row r="12" spans="3:10">
      <c r="C12" s="195" t="s">
        <v>1137</v>
      </c>
      <c r="D12" s="202">
        <f>SUM(PRODUCT(7.69,15),PRODUCT(2,70.25),5.4,PRODUCT(0.82,2),1.79,PRODUCT(1.75,2),2.2,2.7)</f>
        <v>273.08</v>
      </c>
      <c r="E12" s="202">
        <v>0.3</v>
      </c>
      <c r="F12" s="202">
        <f>PRODUCT(D12,E12)</f>
        <v>81.923999999999992</v>
      </c>
    </row>
    <row r="13" spans="3:10" ht="15">
      <c r="E13" s="345" t="s">
        <v>716</v>
      </c>
      <c r="F13" s="347">
        <f>SUM(F11:F12)</f>
        <v>88.465699999999998</v>
      </c>
    </row>
    <row r="15" spans="3:10">
      <c r="C15" s="684" t="s">
        <v>1140</v>
      </c>
      <c r="D15" s="684"/>
      <c r="E15" s="684"/>
      <c r="F15" s="684"/>
      <c r="G15" s="684"/>
      <c r="H15" s="147" t="s">
        <v>1141</v>
      </c>
      <c r="J15" s="128" t="s">
        <v>1188</v>
      </c>
    </row>
    <row r="16" spans="3:10">
      <c r="C16" s="195" t="s">
        <v>1131</v>
      </c>
      <c r="D16" s="195" t="s">
        <v>1132</v>
      </c>
      <c r="E16" s="195" t="s">
        <v>1133</v>
      </c>
      <c r="F16" s="195" t="s">
        <v>1134</v>
      </c>
      <c r="G16" s="195" t="s">
        <v>1135</v>
      </c>
      <c r="H16" s="348" t="s">
        <v>1139</v>
      </c>
      <c r="J16" s="363">
        <f>H19+L28</f>
        <v>105.9717</v>
      </c>
    </row>
    <row r="17" spans="3:13">
      <c r="C17" s="195" t="s">
        <v>1136</v>
      </c>
      <c r="D17" s="202">
        <f>SUM(PRODUCT(3,2),-PRODUCT(0.3,2),59.817,0.2)</f>
        <v>65.417000000000002</v>
      </c>
      <c r="E17" s="202">
        <v>0.19</v>
      </c>
      <c r="F17" s="202">
        <v>0.1</v>
      </c>
      <c r="G17" s="344">
        <f>PRODUCT(D17,E17,F17)</f>
        <v>1.2429230000000002</v>
      </c>
      <c r="H17" s="195">
        <f>PRODUCT(D17,F17)</f>
        <v>6.5417000000000005</v>
      </c>
      <c r="J17" s="131" t="s">
        <v>1189</v>
      </c>
    </row>
    <row r="18" spans="3:13">
      <c r="C18" s="195" t="s">
        <v>1137</v>
      </c>
      <c r="D18" s="202">
        <f>SUM(PRODUCT(7.69,15),PRODUCT(2,70.25),5.4,PRODUCT(0.82,2),1.79,PRODUCT(1.75,2),2.2,2.7)</f>
        <v>273.08</v>
      </c>
      <c r="E18" s="202">
        <v>0.19</v>
      </c>
      <c r="F18" s="202">
        <v>0.15</v>
      </c>
      <c r="G18" s="344">
        <f>PRODUCT(D18,E18,F18)</f>
        <v>7.7827799999999989</v>
      </c>
      <c r="H18" s="195">
        <f>PRODUCT(D18,F18)</f>
        <v>40.961999999999996</v>
      </c>
      <c r="J18" s="364">
        <f>G19+K28</f>
        <v>36.085703000000002</v>
      </c>
    </row>
    <row r="19" spans="3:13" ht="15">
      <c r="C19" s="345" t="s">
        <v>716</v>
      </c>
      <c r="D19" s="202">
        <f>SUM(D17:D18)</f>
        <v>338.49699999999996</v>
      </c>
      <c r="F19" s="345" t="s">
        <v>716</v>
      </c>
      <c r="G19" s="346">
        <f>SUM(G17:G18)</f>
        <v>9.025703</v>
      </c>
      <c r="H19" s="345">
        <f>SUM(H17:H18)</f>
        <v>47.503699999999995</v>
      </c>
    </row>
    <row r="21" spans="3:13">
      <c r="C21" s="684" t="s">
        <v>1142</v>
      </c>
      <c r="D21" s="684"/>
      <c r="E21" s="684"/>
      <c r="F21" s="684"/>
      <c r="G21" s="684"/>
      <c r="H21" s="684"/>
      <c r="I21" s="684"/>
      <c r="J21" s="684"/>
      <c r="K21" s="684"/>
      <c r="L21" s="239"/>
    </row>
    <row r="22" spans="3:13">
      <c r="C22" s="686" t="s">
        <v>1131</v>
      </c>
      <c r="D22" s="684" t="s">
        <v>1143</v>
      </c>
      <c r="E22" s="684"/>
      <c r="F22" s="684"/>
      <c r="G22" s="684"/>
      <c r="H22" s="686" t="s">
        <v>1144</v>
      </c>
      <c r="I22" s="686" t="s">
        <v>715</v>
      </c>
      <c r="J22" s="687" t="s">
        <v>1190</v>
      </c>
      <c r="K22" s="688" t="s">
        <v>1145</v>
      </c>
      <c r="L22" s="147" t="s">
        <v>1141</v>
      </c>
    </row>
    <row r="23" spans="3:13">
      <c r="C23" s="686"/>
      <c r="D23" s="195" t="s">
        <v>1132</v>
      </c>
      <c r="E23" s="195" t="s">
        <v>1133</v>
      </c>
      <c r="F23" s="195" t="s">
        <v>1134</v>
      </c>
      <c r="G23" s="348" t="s">
        <v>1139</v>
      </c>
      <c r="H23" s="686"/>
      <c r="I23" s="686"/>
      <c r="J23" s="688"/>
      <c r="K23" s="688"/>
      <c r="L23" s="348" t="s">
        <v>1139</v>
      </c>
      <c r="M23" s="147" t="s">
        <v>1203</v>
      </c>
    </row>
    <row r="24" spans="3:13">
      <c r="C24" s="348" t="s">
        <v>1146</v>
      </c>
      <c r="D24" s="202">
        <v>0.9</v>
      </c>
      <c r="E24" s="202">
        <v>0.9</v>
      </c>
      <c r="F24" s="202">
        <v>0.05</v>
      </c>
      <c r="G24" s="344">
        <f>PRODUCT(D24,E24)</f>
        <v>0.81</v>
      </c>
      <c r="H24" s="349">
        <v>0.219</v>
      </c>
      <c r="I24" s="350">
        <v>15</v>
      </c>
      <c r="J24" s="344">
        <f>PRODUCT(G24,I24)</f>
        <v>12.15</v>
      </c>
      <c r="K24" s="344">
        <f>PRODUCT(H24,I24)</f>
        <v>3.2850000000000001</v>
      </c>
      <c r="L24" s="202">
        <f>PRODUCT(0.2,SUM(PRODUCT(2,D24),PRODUCT(2,E24)))*I24</f>
        <v>10.8</v>
      </c>
      <c r="M24" s="195">
        <f>G24*I24</f>
        <v>12.15</v>
      </c>
    </row>
    <row r="25" spans="3:13">
      <c r="C25" s="348" t="s">
        <v>1147</v>
      </c>
      <c r="D25" s="202">
        <v>1.5</v>
      </c>
      <c r="E25" s="202">
        <v>1.5</v>
      </c>
      <c r="F25" s="202">
        <v>0.05</v>
      </c>
      <c r="G25" s="344">
        <f>PRODUCT(D25,E25)</f>
        <v>2.25</v>
      </c>
      <c r="H25" s="195">
        <v>0.746</v>
      </c>
      <c r="I25" s="351">
        <v>29</v>
      </c>
      <c r="J25" s="344">
        <f>PRODUCT(G25,I25)</f>
        <v>65.25</v>
      </c>
      <c r="K25" s="344">
        <f>PRODUCT(H25,I25)</f>
        <v>21.634</v>
      </c>
      <c r="L25" s="202">
        <f>PRODUCT(0.25,SUM(PRODUCT(2,D25),PRODUCT(2,E25)))*I25</f>
        <v>43.5</v>
      </c>
      <c r="M25" s="195">
        <f>G25*I25</f>
        <v>65.25</v>
      </c>
    </row>
    <row r="26" spans="3:13">
      <c r="C26" s="348" t="s">
        <v>1148</v>
      </c>
      <c r="D26" s="202">
        <v>1.22</v>
      </c>
      <c r="E26" s="202">
        <v>0.9</v>
      </c>
      <c r="F26" s="202">
        <v>0.05</v>
      </c>
      <c r="G26" s="344">
        <f>PRODUCT(D26,E26)</f>
        <v>1.0980000000000001</v>
      </c>
      <c r="H26" s="195">
        <v>0.30299999999999999</v>
      </c>
      <c r="I26" s="351">
        <v>1</v>
      </c>
      <c r="J26" s="344">
        <f>PRODUCT(G26,I26)</f>
        <v>1.0980000000000001</v>
      </c>
      <c r="K26" s="344">
        <f>PRODUCT(H26,I26)</f>
        <v>0.30299999999999999</v>
      </c>
      <c r="L26" s="202">
        <f>PRODUCT(0.2,SUM(PRODUCT(2,D26),PRODUCT(2,E26)))*I26</f>
        <v>0.84800000000000009</v>
      </c>
      <c r="M26" s="195">
        <f>G26*I26</f>
        <v>1.0980000000000001</v>
      </c>
    </row>
    <row r="27" spans="3:13">
      <c r="C27" s="348" t="s">
        <v>1149</v>
      </c>
      <c r="D27" s="202">
        <v>1.82</v>
      </c>
      <c r="E27" s="202">
        <v>1.5</v>
      </c>
      <c r="F27" s="202">
        <v>0.05</v>
      </c>
      <c r="G27" s="344">
        <f>PRODUCT(D27,E27)</f>
        <v>2.73</v>
      </c>
      <c r="H27" s="195">
        <v>0.91900000000000004</v>
      </c>
      <c r="I27" s="351">
        <v>2</v>
      </c>
      <c r="J27" s="344">
        <f>PRODUCT(G27,I27)</f>
        <v>5.46</v>
      </c>
      <c r="K27" s="344">
        <f>PRODUCT(H27,I27)</f>
        <v>1.8380000000000001</v>
      </c>
      <c r="L27" s="202">
        <f>PRODUCT(0.25,SUM(PRODUCT(2,D27),PRODUCT(2,E27)))*I27</f>
        <v>3.3200000000000003</v>
      </c>
      <c r="M27" s="195">
        <f>G27*I27</f>
        <v>5.46</v>
      </c>
    </row>
    <row r="28" spans="3:13" ht="15">
      <c r="G28" s="371"/>
      <c r="I28" s="345" t="s">
        <v>716</v>
      </c>
      <c r="J28" s="346">
        <f>SUM(J24:J27)</f>
        <v>83.957999999999998</v>
      </c>
      <c r="K28" s="346">
        <f>SUM(K24:K27)</f>
        <v>27.060000000000002</v>
      </c>
      <c r="L28" s="347">
        <f>SUM(L24:L27)</f>
        <v>58.467999999999996</v>
      </c>
      <c r="M28" s="195">
        <f>SUM(M24:M27)</f>
        <v>83.957999999999998</v>
      </c>
    </row>
    <row r="30" spans="3:13">
      <c r="C30" s="684" t="s">
        <v>1150</v>
      </c>
      <c r="D30" s="684"/>
      <c r="E30" s="684"/>
      <c r="F30" s="684"/>
      <c r="G30" s="684"/>
      <c r="H30" s="684"/>
      <c r="I30" s="684"/>
      <c r="J30" s="147" t="s">
        <v>1141</v>
      </c>
    </row>
    <row r="31" spans="3:13">
      <c r="C31" s="195" t="s">
        <v>1131</v>
      </c>
      <c r="D31" s="195" t="s">
        <v>1132</v>
      </c>
      <c r="E31" s="195" t="s">
        <v>1133</v>
      </c>
      <c r="F31" s="195" t="s">
        <v>1134</v>
      </c>
      <c r="G31" s="195" t="s">
        <v>1135</v>
      </c>
      <c r="H31" s="279" t="s">
        <v>715</v>
      </c>
      <c r="I31" s="279" t="s">
        <v>1151</v>
      </c>
      <c r="J31" s="348" t="s">
        <v>1139</v>
      </c>
    </row>
    <row r="32" spans="3:13">
      <c r="C32" s="348" t="s">
        <v>1152</v>
      </c>
      <c r="D32" s="202">
        <v>0.4</v>
      </c>
      <c r="E32" s="202">
        <v>0.2</v>
      </c>
      <c r="F32" s="202">
        <v>8.5500000000000007</v>
      </c>
      <c r="G32" s="344">
        <f>PRODUCT(D32,E32,F32)</f>
        <v>0.68400000000000016</v>
      </c>
      <c r="H32" s="279">
        <v>34</v>
      </c>
      <c r="I32" s="352">
        <f>PRODUCT(G32,H32)</f>
        <v>23.256000000000007</v>
      </c>
      <c r="J32" s="202">
        <f>PRODUCT(F32,SUM(PRODUCT(2,D32),PRODUCT(2,E32)),H32)</f>
        <v>348.84000000000003</v>
      </c>
    </row>
    <row r="33" spans="3:10">
      <c r="C33" s="195" t="s">
        <v>1153</v>
      </c>
      <c r="D33" s="202">
        <v>0.2</v>
      </c>
      <c r="E33" s="202">
        <v>0.15</v>
      </c>
      <c r="F33" s="202">
        <v>7.25</v>
      </c>
      <c r="G33" s="344">
        <f>PRODUCT(D33,E33,F33)</f>
        <v>0.2175</v>
      </c>
      <c r="H33" s="279">
        <v>17</v>
      </c>
      <c r="I33" s="352">
        <f>PRODUCT(G33,H33)</f>
        <v>3.6974999999999998</v>
      </c>
      <c r="J33" s="202">
        <f>PRODUCT(F33,SUM(PRODUCT(2,D33),PRODUCT(2,E33)),H33)</f>
        <v>86.274999999999991</v>
      </c>
    </row>
    <row r="34" spans="3:10">
      <c r="C34" s="348" t="s">
        <v>1154</v>
      </c>
      <c r="D34" s="202">
        <v>0.4</v>
      </c>
      <c r="E34" s="202">
        <v>0.2</v>
      </c>
      <c r="F34" s="202">
        <v>7.25</v>
      </c>
      <c r="G34" s="344">
        <f>PRODUCT(D34,E34,F34)</f>
        <v>0.58000000000000007</v>
      </c>
      <c r="H34" s="279">
        <v>1</v>
      </c>
      <c r="I34" s="352">
        <f>PRODUCT(G34,H34)</f>
        <v>0.58000000000000007</v>
      </c>
      <c r="J34" s="202">
        <f>PRODUCT(F34,SUM(PRODUCT(2,D34),PRODUCT(2,E34)),H34)</f>
        <v>8.7000000000000011</v>
      </c>
    </row>
    <row r="35" spans="3:10" ht="15">
      <c r="H35" s="345" t="s">
        <v>716</v>
      </c>
      <c r="I35" s="346">
        <f>SUM(I32:I34)</f>
        <v>27.533500000000004</v>
      </c>
      <c r="J35" s="347">
        <f>SUM(J32:J34)</f>
        <v>443.815</v>
      </c>
    </row>
    <row r="37" spans="3:10">
      <c r="C37" s="685" t="s">
        <v>1191</v>
      </c>
      <c r="D37" s="684"/>
      <c r="E37" s="684"/>
      <c r="F37" s="684"/>
      <c r="G37" s="684"/>
      <c r="H37" s="147" t="s">
        <v>1141</v>
      </c>
    </row>
    <row r="38" spans="3:10">
      <c r="C38" s="195" t="s">
        <v>1131</v>
      </c>
      <c r="D38" s="195" t="s">
        <v>1132</v>
      </c>
      <c r="E38" s="195" t="s">
        <v>1133</v>
      </c>
      <c r="F38" s="195" t="s">
        <v>1134</v>
      </c>
      <c r="G38" s="195" t="s">
        <v>1135</v>
      </c>
      <c r="H38" s="348" t="s">
        <v>1139</v>
      </c>
    </row>
    <row r="39" spans="3:10">
      <c r="C39" s="348" t="s">
        <v>1155</v>
      </c>
      <c r="D39" s="202">
        <f>SUM(59.82,-PRODUCT(0.2,17))</f>
        <v>56.42</v>
      </c>
      <c r="E39" s="202">
        <v>0.15</v>
      </c>
      <c r="F39" s="202">
        <v>0.75</v>
      </c>
      <c r="G39" s="344">
        <f>PRODUCT(D39,E39,F39)</f>
        <v>6.3472499999999989</v>
      </c>
      <c r="H39" s="202">
        <f>PRODUCT(D39,SUM(PRODUCT(2,F39),E39))</f>
        <v>93.093000000000004</v>
      </c>
    </row>
    <row r="40" spans="3:10">
      <c r="C40" s="348" t="s">
        <v>1156</v>
      </c>
      <c r="D40" s="202">
        <f>SUM(59.82,-PRODUCT(0.2,17))</f>
        <v>56.42</v>
      </c>
      <c r="E40" s="202">
        <v>0.15</v>
      </c>
      <c r="F40" s="202">
        <v>0.75</v>
      </c>
      <c r="G40" s="344">
        <f t="shared" ref="G40:G60" si="0">PRODUCT(D40,E40,F40)</f>
        <v>6.3472499999999989</v>
      </c>
      <c r="H40" s="202">
        <f t="shared" ref="H40:H60" si="1">PRODUCT(D40,SUM(PRODUCT(2,F40),E40))</f>
        <v>93.093000000000004</v>
      </c>
    </row>
    <row r="41" spans="3:10">
      <c r="C41" s="348" t="s">
        <v>1157</v>
      </c>
      <c r="D41" s="202">
        <v>4.45</v>
      </c>
      <c r="E41" s="202">
        <v>0.15</v>
      </c>
      <c r="F41" s="202">
        <v>0.5</v>
      </c>
      <c r="G41" s="344">
        <f t="shared" si="0"/>
        <v>0.33374999999999999</v>
      </c>
      <c r="H41" s="202">
        <f t="shared" si="1"/>
        <v>5.1174999999999997</v>
      </c>
    </row>
    <row r="42" spans="3:10">
      <c r="C42" s="348" t="s">
        <v>1158</v>
      </c>
      <c r="D42" s="202">
        <f>SUM(59.82,-PRODUCT(0.2,17))</f>
        <v>56.42</v>
      </c>
      <c r="E42" s="202">
        <v>0.15</v>
      </c>
      <c r="F42" s="202">
        <v>0.75</v>
      </c>
      <c r="G42" s="344">
        <f t="shared" si="0"/>
        <v>6.3472499999999989</v>
      </c>
      <c r="H42" s="202">
        <f t="shared" si="1"/>
        <v>93.093000000000004</v>
      </c>
    </row>
    <row r="43" spans="3:10">
      <c r="C43" s="348" t="s">
        <v>1159</v>
      </c>
      <c r="D43" s="202">
        <f>SUM(11.8,-PRODUCT(3,0.4))</f>
        <v>10.600000000000001</v>
      </c>
      <c r="E43" s="202">
        <v>0.2</v>
      </c>
      <c r="F43" s="202">
        <v>0.75</v>
      </c>
      <c r="G43" s="344">
        <f t="shared" si="0"/>
        <v>1.5900000000000003</v>
      </c>
      <c r="H43" s="202">
        <f t="shared" si="1"/>
        <v>18.020000000000003</v>
      </c>
    </row>
    <row r="44" spans="3:10">
      <c r="C44" s="348" t="s">
        <v>1160</v>
      </c>
      <c r="D44" s="202">
        <f t="shared" ref="D44:D59" si="2">SUM(11.8,-PRODUCT(3,0.4))</f>
        <v>10.600000000000001</v>
      </c>
      <c r="E44" s="202">
        <v>0.2</v>
      </c>
      <c r="F44" s="202">
        <v>0.75</v>
      </c>
      <c r="G44" s="344">
        <f t="shared" si="0"/>
        <v>1.5900000000000003</v>
      </c>
      <c r="H44" s="202">
        <f t="shared" si="1"/>
        <v>18.020000000000003</v>
      </c>
    </row>
    <row r="45" spans="3:10">
      <c r="C45" s="348" t="s">
        <v>1161</v>
      </c>
      <c r="D45" s="202">
        <f t="shared" si="2"/>
        <v>10.600000000000001</v>
      </c>
      <c r="E45" s="202">
        <v>0.2</v>
      </c>
      <c r="F45" s="202">
        <v>0.75</v>
      </c>
      <c r="G45" s="344">
        <f t="shared" si="0"/>
        <v>1.5900000000000003</v>
      </c>
      <c r="H45" s="202">
        <f t="shared" si="1"/>
        <v>18.020000000000003</v>
      </c>
    </row>
    <row r="46" spans="3:10">
      <c r="C46" s="348" t="s">
        <v>1162</v>
      </c>
      <c r="D46" s="202">
        <f t="shared" si="2"/>
        <v>10.600000000000001</v>
      </c>
      <c r="E46" s="202">
        <v>0.2</v>
      </c>
      <c r="F46" s="202">
        <v>0.75</v>
      </c>
      <c r="G46" s="344">
        <f t="shared" si="0"/>
        <v>1.5900000000000003</v>
      </c>
      <c r="H46" s="202">
        <f t="shared" si="1"/>
        <v>18.020000000000003</v>
      </c>
    </row>
    <row r="47" spans="3:10">
      <c r="C47" s="348" t="s">
        <v>1163</v>
      </c>
      <c r="D47" s="202">
        <f t="shared" si="2"/>
        <v>10.600000000000001</v>
      </c>
      <c r="E47" s="202">
        <v>0.2</v>
      </c>
      <c r="F47" s="202">
        <v>0.75</v>
      </c>
      <c r="G47" s="344">
        <f t="shared" si="0"/>
        <v>1.5900000000000003</v>
      </c>
      <c r="H47" s="202">
        <f t="shared" si="1"/>
        <v>18.020000000000003</v>
      </c>
    </row>
    <row r="48" spans="3:10">
      <c r="C48" s="348" t="s">
        <v>1164</v>
      </c>
      <c r="D48" s="202">
        <f t="shared" si="2"/>
        <v>10.600000000000001</v>
      </c>
      <c r="E48" s="202">
        <v>0.2</v>
      </c>
      <c r="F48" s="202">
        <v>0.75</v>
      </c>
      <c r="G48" s="344">
        <f t="shared" si="0"/>
        <v>1.5900000000000003</v>
      </c>
      <c r="H48" s="202">
        <f t="shared" si="1"/>
        <v>18.020000000000003</v>
      </c>
    </row>
    <row r="49" spans="2:13">
      <c r="C49" s="348" t="s">
        <v>1165</v>
      </c>
      <c r="D49" s="202">
        <f t="shared" si="2"/>
        <v>10.600000000000001</v>
      </c>
      <c r="E49" s="202">
        <v>0.2</v>
      </c>
      <c r="F49" s="202">
        <v>0.75</v>
      </c>
      <c r="G49" s="344">
        <f>SUM(PRODUCT(D49,E49,F49),-PRODUCT(E34,D34,F49))</f>
        <v>1.5300000000000002</v>
      </c>
      <c r="H49" s="202">
        <f t="shared" si="1"/>
        <v>18.020000000000003</v>
      </c>
    </row>
    <row r="50" spans="2:13">
      <c r="C50" s="348" t="s">
        <v>1166</v>
      </c>
      <c r="D50" s="202">
        <f t="shared" si="2"/>
        <v>10.600000000000001</v>
      </c>
      <c r="E50" s="202">
        <v>0.2</v>
      </c>
      <c r="F50" s="202">
        <v>0.75</v>
      </c>
      <c r="G50" s="344">
        <f t="shared" si="0"/>
        <v>1.5900000000000003</v>
      </c>
      <c r="H50" s="202">
        <f t="shared" si="1"/>
        <v>18.020000000000003</v>
      </c>
    </row>
    <row r="51" spans="2:13">
      <c r="C51" s="348" t="s">
        <v>1167</v>
      </c>
      <c r="D51" s="202">
        <f t="shared" si="2"/>
        <v>10.600000000000001</v>
      </c>
      <c r="E51" s="202">
        <v>0.2</v>
      </c>
      <c r="F51" s="202">
        <v>0.75</v>
      </c>
      <c r="G51" s="344">
        <f t="shared" si="0"/>
        <v>1.5900000000000003</v>
      </c>
      <c r="H51" s="202">
        <f t="shared" si="1"/>
        <v>18.020000000000003</v>
      </c>
    </row>
    <row r="52" spans="2:13">
      <c r="C52" s="348" t="s">
        <v>1168</v>
      </c>
      <c r="D52" s="202">
        <f t="shared" si="2"/>
        <v>10.600000000000001</v>
      </c>
      <c r="E52" s="202">
        <v>0.2</v>
      </c>
      <c r="F52" s="202">
        <v>0.75</v>
      </c>
      <c r="G52" s="344">
        <f t="shared" si="0"/>
        <v>1.5900000000000003</v>
      </c>
      <c r="H52" s="202">
        <f t="shared" si="1"/>
        <v>18.020000000000003</v>
      </c>
    </row>
    <row r="53" spans="2:13">
      <c r="C53" s="348" t="s">
        <v>1169</v>
      </c>
      <c r="D53" s="202">
        <f t="shared" si="2"/>
        <v>10.600000000000001</v>
      </c>
      <c r="E53" s="202">
        <v>0.2</v>
      </c>
      <c r="F53" s="202">
        <v>0.75</v>
      </c>
      <c r="G53" s="344">
        <f t="shared" si="0"/>
        <v>1.5900000000000003</v>
      </c>
      <c r="H53" s="202">
        <f t="shared" si="1"/>
        <v>18.020000000000003</v>
      </c>
    </row>
    <row r="54" spans="2:13">
      <c r="C54" s="348" t="s">
        <v>1170</v>
      </c>
      <c r="D54" s="202">
        <f t="shared" si="2"/>
        <v>10.600000000000001</v>
      </c>
      <c r="E54" s="202">
        <v>0.2</v>
      </c>
      <c r="F54" s="202">
        <v>0.75</v>
      </c>
      <c r="G54" s="344">
        <f t="shared" si="0"/>
        <v>1.5900000000000003</v>
      </c>
      <c r="H54" s="202">
        <f t="shared" si="1"/>
        <v>18.020000000000003</v>
      </c>
    </row>
    <row r="55" spans="2:13">
      <c r="C55" s="348" t="s">
        <v>1171</v>
      </c>
      <c r="D55" s="202">
        <f t="shared" si="2"/>
        <v>10.600000000000001</v>
      </c>
      <c r="E55" s="202">
        <v>0.2</v>
      </c>
      <c r="F55" s="202">
        <v>0.75</v>
      </c>
      <c r="G55" s="344">
        <f t="shared" si="0"/>
        <v>1.5900000000000003</v>
      </c>
      <c r="H55" s="202">
        <f t="shared" si="1"/>
        <v>18.020000000000003</v>
      </c>
    </row>
    <row r="56" spans="2:13">
      <c r="C56" s="348" t="s">
        <v>1172</v>
      </c>
      <c r="D56" s="202">
        <f t="shared" si="2"/>
        <v>10.600000000000001</v>
      </c>
      <c r="E56" s="202">
        <v>0.2</v>
      </c>
      <c r="F56" s="202">
        <v>0.75</v>
      </c>
      <c r="G56" s="344">
        <f t="shared" si="0"/>
        <v>1.5900000000000003</v>
      </c>
      <c r="H56" s="202">
        <f t="shared" si="1"/>
        <v>18.020000000000003</v>
      </c>
    </row>
    <row r="57" spans="2:13">
      <c r="C57" s="348" t="s">
        <v>1173</v>
      </c>
      <c r="D57" s="202">
        <f t="shared" si="2"/>
        <v>10.600000000000001</v>
      </c>
      <c r="E57" s="202">
        <v>0.2</v>
      </c>
      <c r="F57" s="202">
        <v>0.75</v>
      </c>
      <c r="G57" s="344">
        <f t="shared" si="0"/>
        <v>1.5900000000000003</v>
      </c>
      <c r="H57" s="202">
        <f t="shared" si="1"/>
        <v>18.020000000000003</v>
      </c>
    </row>
    <row r="58" spans="2:13">
      <c r="C58" s="348" t="s">
        <v>1174</v>
      </c>
      <c r="D58" s="202">
        <f t="shared" si="2"/>
        <v>10.600000000000001</v>
      </c>
      <c r="E58" s="202">
        <v>0.2</v>
      </c>
      <c r="F58" s="202">
        <v>0.75</v>
      </c>
      <c r="G58" s="344">
        <f t="shared" si="0"/>
        <v>1.5900000000000003</v>
      </c>
      <c r="H58" s="202">
        <f t="shared" si="1"/>
        <v>18.020000000000003</v>
      </c>
    </row>
    <row r="59" spans="2:13">
      <c r="C59" s="348" t="s">
        <v>1175</v>
      </c>
      <c r="D59" s="202">
        <f t="shared" si="2"/>
        <v>10.600000000000001</v>
      </c>
      <c r="E59" s="202">
        <v>0.2</v>
      </c>
      <c r="F59" s="202">
        <v>0.75</v>
      </c>
      <c r="G59" s="344">
        <f t="shared" si="0"/>
        <v>1.5900000000000003</v>
      </c>
      <c r="H59" s="202">
        <f t="shared" si="1"/>
        <v>18.020000000000003</v>
      </c>
    </row>
    <row r="60" spans="2:13">
      <c r="C60" s="348" t="s">
        <v>1176</v>
      </c>
      <c r="D60" s="195">
        <v>3.15</v>
      </c>
      <c r="E60" s="353">
        <v>0.15</v>
      </c>
      <c r="F60" s="353">
        <v>0.4</v>
      </c>
      <c r="G60" s="344">
        <f t="shared" si="0"/>
        <v>0.189</v>
      </c>
      <c r="H60" s="202">
        <f t="shared" si="1"/>
        <v>2.9925000000000002</v>
      </c>
    </row>
    <row r="61" spans="2:13" ht="15">
      <c r="F61" s="345" t="s">
        <v>716</v>
      </c>
      <c r="G61" s="346">
        <f>SUM(G39:G60)</f>
        <v>46.53450000000003</v>
      </c>
      <c r="H61" s="347">
        <f>SUM(H39:H60)</f>
        <v>593.7289999999997</v>
      </c>
    </row>
    <row r="63" spans="2:13">
      <c r="B63" s="684" t="s">
        <v>810</v>
      </c>
      <c r="C63" s="684"/>
      <c r="D63" s="684"/>
      <c r="E63" s="684"/>
      <c r="F63" s="684"/>
      <c r="G63" s="684"/>
      <c r="H63" s="684"/>
      <c r="I63" s="684"/>
      <c r="J63" s="684"/>
      <c r="K63" s="684"/>
      <c r="L63" s="684"/>
      <c r="M63" s="684"/>
    </row>
    <row r="64" spans="2:13">
      <c r="B64" s="684" t="s">
        <v>1177</v>
      </c>
      <c r="C64" s="684"/>
      <c r="D64" s="684"/>
      <c r="E64" s="684"/>
      <c r="F64" s="684"/>
      <c r="G64" s="684"/>
      <c r="H64" s="684"/>
      <c r="I64" s="684" t="s">
        <v>1178</v>
      </c>
      <c r="J64" s="684"/>
      <c r="K64" s="684"/>
      <c r="L64" s="684"/>
      <c r="M64" s="684"/>
    </row>
    <row r="65" spans="2:13">
      <c r="B65" s="195" t="s">
        <v>1131</v>
      </c>
      <c r="C65" s="195" t="s">
        <v>1139</v>
      </c>
      <c r="D65" s="195" t="s">
        <v>1133</v>
      </c>
      <c r="E65" s="354" t="s">
        <v>1135</v>
      </c>
      <c r="F65" s="195" t="s">
        <v>1179</v>
      </c>
      <c r="G65" s="348" t="s">
        <v>1180</v>
      </c>
      <c r="H65" s="355" t="s">
        <v>1181</v>
      </c>
      <c r="I65" s="195" t="s">
        <v>1132</v>
      </c>
      <c r="J65" s="195" t="s">
        <v>1133</v>
      </c>
      <c r="K65" s="195" t="s">
        <v>1134</v>
      </c>
      <c r="L65" s="354" t="s">
        <v>1135</v>
      </c>
      <c r="M65" s="355" t="s">
        <v>1181</v>
      </c>
    </row>
    <row r="66" spans="2:13" ht="15">
      <c r="B66" s="195" t="s">
        <v>1182</v>
      </c>
      <c r="C66" s="195">
        <v>0.66</v>
      </c>
      <c r="D66" s="195">
        <v>1.64</v>
      </c>
      <c r="E66" s="356">
        <f>PRODUCT(C66,D66)</f>
        <v>1.0824</v>
      </c>
      <c r="F66" s="390">
        <v>3.68</v>
      </c>
      <c r="G66" s="391">
        <v>0.14549999999999999</v>
      </c>
      <c r="H66" s="392">
        <f>SUM(PRODUCT(SUM(PRODUCT(G66,10),F66),D66),PRODUCT(G66,F66,2))</f>
        <v>9.4922799999999992</v>
      </c>
      <c r="I66" s="202">
        <v>3.2</v>
      </c>
      <c r="J66" s="195">
        <v>1.48</v>
      </c>
      <c r="K66" s="195">
        <v>0.13</v>
      </c>
      <c r="L66" s="356">
        <f>PRODUCT(I66,J66,K66)</f>
        <v>0.61568000000000001</v>
      </c>
      <c r="M66" s="357">
        <f>SUM(PRODUCT(J66,I66),PRODUCT(K66,I66),PRODUCT(2,K66,J66))</f>
        <v>5.5368000000000004</v>
      </c>
    </row>
    <row r="67" spans="2:13" ht="15">
      <c r="B67" s="201" t="s">
        <v>1183</v>
      </c>
      <c r="C67" s="201">
        <v>0.65</v>
      </c>
      <c r="D67" s="201">
        <v>1.56</v>
      </c>
      <c r="E67" s="358">
        <f>PRODUCT(C67,D67)</f>
        <v>1.014</v>
      </c>
      <c r="F67" s="393">
        <v>3.34</v>
      </c>
      <c r="G67" s="394">
        <v>0.14549999999999999</v>
      </c>
      <c r="H67" s="392">
        <f>SUM(PRODUCT(SUM(PRODUCT(G67,10),F67),D67),PRODUCT(G67,F67,2))</f>
        <v>8.45214</v>
      </c>
      <c r="I67" s="359"/>
      <c r="J67" s="359"/>
    </row>
    <row r="68" spans="2:13">
      <c r="F68" s="61"/>
      <c r="G68" s="395"/>
      <c r="H68" s="395"/>
      <c r="I68" s="359"/>
      <c r="J68" s="359"/>
    </row>
    <row r="69" spans="2:13" ht="15">
      <c r="E69" s="345" t="s">
        <v>1135</v>
      </c>
      <c r="F69" s="396" t="s">
        <v>1181</v>
      </c>
      <c r="G69" s="61"/>
      <c r="H69" s="61"/>
      <c r="K69" s="360"/>
    </row>
    <row r="70" spans="2:13" ht="15">
      <c r="D70" s="345" t="s">
        <v>716</v>
      </c>
      <c r="E70" s="346">
        <f>SUM(E66,E67,L66)</f>
        <v>2.7120800000000003</v>
      </c>
      <c r="F70" s="397">
        <f>SUM(H66,H67,M66)</f>
        <v>23.48122</v>
      </c>
      <c r="G70" s="61"/>
      <c r="H70" s="398"/>
    </row>
    <row r="72" spans="2:13">
      <c r="B72" s="684" t="s">
        <v>1209</v>
      </c>
      <c r="C72" s="684"/>
      <c r="D72" s="684"/>
      <c r="E72" s="684"/>
    </row>
    <row r="73" spans="2:13">
      <c r="B73" s="195" t="s">
        <v>1131</v>
      </c>
      <c r="C73" s="195" t="s">
        <v>1210</v>
      </c>
      <c r="D73" s="195" t="s">
        <v>1139</v>
      </c>
      <c r="E73" s="354" t="s">
        <v>1135</v>
      </c>
    </row>
    <row r="74" spans="2:13">
      <c r="B74" s="195" t="s">
        <v>1136</v>
      </c>
      <c r="C74" s="202">
        <v>0.2</v>
      </c>
      <c r="D74" s="195">
        <v>180.59</v>
      </c>
      <c r="E74" s="356">
        <f>PRODUCT(C74,D74)</f>
        <v>36.118000000000002</v>
      </c>
    </row>
    <row r="75" spans="2:13">
      <c r="B75" s="195" t="s">
        <v>1137</v>
      </c>
      <c r="C75" s="202">
        <v>0.45</v>
      </c>
      <c r="D75" s="195">
        <v>473.95</v>
      </c>
      <c r="E75" s="356">
        <f>PRODUCT(C75,D75)</f>
        <v>213.2775</v>
      </c>
    </row>
    <row r="76" spans="2:13" ht="15">
      <c r="D76" s="345" t="s">
        <v>716</v>
      </c>
      <c r="E76" s="346">
        <f>SUM(E74:E75)</f>
        <v>249.3955</v>
      </c>
    </row>
  </sheetData>
  <mergeCells count="17">
    <mergeCell ref="B63:M63"/>
    <mergeCell ref="B64:H64"/>
    <mergeCell ref="I64:M64"/>
    <mergeCell ref="B72:E72"/>
    <mergeCell ref="D22:G22"/>
    <mergeCell ref="H22:H23"/>
    <mergeCell ref="I22:I23"/>
    <mergeCell ref="J22:J23"/>
    <mergeCell ref="K22:K23"/>
    <mergeCell ref="H3:H4"/>
    <mergeCell ref="C30:I30"/>
    <mergeCell ref="C37:G37"/>
    <mergeCell ref="C3:G3"/>
    <mergeCell ref="C9:F9"/>
    <mergeCell ref="C15:G15"/>
    <mergeCell ref="C21:K21"/>
    <mergeCell ref="C22:C23"/>
  </mergeCells>
  <pageMargins left="0.51181102362204722" right="0.51181102362204722" top="0.78740157480314965" bottom="0.78740157480314965" header="0.31496062992125984" footer="0.31496062992125984"/>
  <pageSetup paperSize="9" scale="72" orientation="landscape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B3:L58"/>
  <sheetViews>
    <sheetView tabSelected="1" workbookViewId="0">
      <selection activeCell="D36" sqref="D36:D39"/>
    </sheetView>
  </sheetViews>
  <sheetFormatPr defaultRowHeight="12.75"/>
  <cols>
    <col min="2" max="2" width="12.85546875" customWidth="1"/>
    <col min="3" max="3" width="11.85546875" customWidth="1"/>
    <col min="4" max="4" width="12.42578125" customWidth="1"/>
    <col min="8" max="8" width="8.42578125" bestFit="1" customWidth="1"/>
    <col min="9" max="9" width="8" bestFit="1" customWidth="1"/>
    <col min="10" max="10" width="12" bestFit="1" customWidth="1"/>
  </cols>
  <sheetData>
    <row r="3" spans="2:12" ht="18.75">
      <c r="B3" s="692" t="s">
        <v>1211</v>
      </c>
      <c r="C3" s="692"/>
      <c r="D3" s="692"/>
      <c r="E3" s="692"/>
      <c r="F3" s="692"/>
    </row>
    <row r="4" spans="2:12" ht="13.5" thickBot="1">
      <c r="C4" s="361"/>
    </row>
    <row r="5" spans="2:12" ht="18.75">
      <c r="B5" s="689" t="s">
        <v>1212</v>
      </c>
      <c r="C5" s="690"/>
      <c r="D5" s="690"/>
      <c r="E5" s="690"/>
      <c r="F5" s="691"/>
      <c r="H5" s="689" t="s">
        <v>1290</v>
      </c>
      <c r="I5" s="690"/>
      <c r="J5" s="690"/>
      <c r="K5" s="690"/>
      <c r="L5" s="691"/>
    </row>
    <row r="6" spans="2:12" ht="18.75">
      <c r="B6" s="374" t="s">
        <v>1213</v>
      </c>
      <c r="C6" s="375" t="s">
        <v>1214</v>
      </c>
      <c r="D6" s="376" t="s">
        <v>1215</v>
      </c>
      <c r="E6" s="377"/>
      <c r="F6" s="378"/>
      <c r="H6" s="374" t="s">
        <v>1213</v>
      </c>
      <c r="I6" s="375" t="s">
        <v>1214</v>
      </c>
      <c r="J6" s="376" t="s">
        <v>1215</v>
      </c>
      <c r="K6" s="377"/>
      <c r="L6" s="378"/>
    </row>
    <row r="7" spans="2:12" ht="18.75">
      <c r="B7" s="379" t="s">
        <v>180</v>
      </c>
      <c r="C7" s="380" t="s">
        <v>1216</v>
      </c>
      <c r="D7" s="377">
        <v>330</v>
      </c>
      <c r="E7" s="377"/>
      <c r="F7" s="378"/>
      <c r="H7" s="379" t="s">
        <v>180</v>
      </c>
      <c r="I7" s="380" t="s">
        <v>1216</v>
      </c>
      <c r="J7" s="377">
        <v>54</v>
      </c>
      <c r="K7" s="377"/>
      <c r="L7" s="378"/>
    </row>
    <row r="8" spans="2:12" ht="18.75">
      <c r="B8" s="379" t="s">
        <v>127</v>
      </c>
      <c r="C8" s="380" t="s">
        <v>1217</v>
      </c>
      <c r="D8" s="377">
        <v>488</v>
      </c>
      <c r="E8" s="377"/>
      <c r="F8" s="378"/>
      <c r="H8" s="379"/>
      <c r="I8" s="380"/>
      <c r="J8" s="377"/>
      <c r="K8" s="377"/>
      <c r="L8" s="378"/>
    </row>
    <row r="9" spans="2:12" ht="18.75">
      <c r="B9" s="379" t="s">
        <v>186</v>
      </c>
      <c r="C9" s="380" t="s">
        <v>1217</v>
      </c>
      <c r="D9" s="377">
        <v>677</v>
      </c>
      <c r="E9" s="377"/>
      <c r="F9" s="378"/>
      <c r="H9" s="379" t="s">
        <v>186</v>
      </c>
      <c r="I9" s="380" t="s">
        <v>1217</v>
      </c>
      <c r="J9" s="377">
        <v>199</v>
      </c>
      <c r="K9" s="377"/>
      <c r="L9" s="378"/>
    </row>
    <row r="10" spans="2:12" ht="18.75">
      <c r="B10" s="379" t="s">
        <v>414</v>
      </c>
      <c r="C10" s="380" t="s">
        <v>1217</v>
      </c>
      <c r="D10" s="377">
        <v>849</v>
      </c>
      <c r="E10" s="377"/>
      <c r="F10" s="378"/>
      <c r="H10" s="379"/>
      <c r="I10" s="380"/>
      <c r="J10" s="377"/>
      <c r="K10" s="377"/>
      <c r="L10" s="378"/>
    </row>
    <row r="11" spans="2:12" ht="18.75">
      <c r="B11" s="379" t="s">
        <v>192</v>
      </c>
      <c r="C11" s="380" t="s">
        <v>1217</v>
      </c>
      <c r="D11" s="377">
        <v>988</v>
      </c>
      <c r="E11" s="377"/>
      <c r="F11" s="378"/>
      <c r="H11" s="379"/>
      <c r="I11" s="380"/>
      <c r="J11" s="377"/>
      <c r="K11" s="377"/>
      <c r="L11" s="378"/>
    </row>
    <row r="12" spans="2:12" ht="18.75">
      <c r="B12" s="379" t="s">
        <v>196</v>
      </c>
      <c r="C12" s="380" t="s">
        <v>1217</v>
      </c>
      <c r="D12" s="377">
        <v>941</v>
      </c>
      <c r="E12" s="377"/>
      <c r="F12" s="378"/>
      <c r="H12" s="379"/>
      <c r="I12" s="380"/>
      <c r="J12" s="377"/>
      <c r="K12" s="377"/>
      <c r="L12" s="378"/>
    </row>
    <row r="13" spans="2:12" ht="19.5" thickBot="1">
      <c r="B13" s="381" t="s">
        <v>1218</v>
      </c>
      <c r="C13" s="382"/>
      <c r="D13" s="383">
        <f>SUM(D7:D12)</f>
        <v>4273</v>
      </c>
      <c r="E13" s="383"/>
      <c r="F13" s="384"/>
      <c r="H13" s="381" t="s">
        <v>1218</v>
      </c>
      <c r="I13" s="382"/>
      <c r="J13" s="383">
        <f>SUM(J7:J12)</f>
        <v>253</v>
      </c>
      <c r="K13" s="383"/>
      <c r="L13" s="384"/>
    </row>
    <row r="14" spans="2:12" ht="19.5" thickBot="1">
      <c r="B14" s="385"/>
      <c r="C14" s="386"/>
      <c r="D14" s="385"/>
      <c r="E14" s="385"/>
      <c r="F14" s="385"/>
    </row>
    <row r="15" spans="2:12" ht="18.75">
      <c r="B15" s="689" t="s">
        <v>1219</v>
      </c>
      <c r="C15" s="690"/>
      <c r="D15" s="690"/>
      <c r="E15" s="690"/>
      <c r="F15" s="691"/>
    </row>
    <row r="16" spans="2:12" ht="18.75">
      <c r="B16" s="374" t="s">
        <v>1213</v>
      </c>
      <c r="C16" s="375" t="s">
        <v>1214</v>
      </c>
      <c r="D16" s="376" t="s">
        <v>1215</v>
      </c>
      <c r="E16" s="377"/>
      <c r="F16" s="378"/>
    </row>
    <row r="17" spans="2:6" ht="18.75">
      <c r="B17" s="379" t="s">
        <v>180</v>
      </c>
      <c r="C17" s="380" t="s">
        <v>1216</v>
      </c>
      <c r="D17" s="377">
        <f>238+447</f>
        <v>685</v>
      </c>
      <c r="E17" s="377"/>
      <c r="F17" s="378"/>
    </row>
    <row r="18" spans="2:6" ht="18.75">
      <c r="B18" s="379" t="s">
        <v>127</v>
      </c>
      <c r="C18" s="380" t="s">
        <v>1217</v>
      </c>
      <c r="D18" s="377">
        <f>757+693+693+368</f>
        <v>2511</v>
      </c>
      <c r="E18" s="377"/>
      <c r="F18" s="378"/>
    </row>
    <row r="19" spans="2:6" ht="18.75">
      <c r="B19" s="379" t="s">
        <v>184</v>
      </c>
      <c r="C19" s="380" t="s">
        <v>1217</v>
      </c>
      <c r="D19" s="377">
        <f>283+257</f>
        <v>540</v>
      </c>
      <c r="E19" s="377"/>
      <c r="F19" s="378"/>
    </row>
    <row r="20" spans="2:6" ht="18.75">
      <c r="B20" s="379" t="s">
        <v>186</v>
      </c>
      <c r="C20" s="380" t="s">
        <v>1217</v>
      </c>
      <c r="D20" s="377">
        <f>88+553+553+252</f>
        <v>1446</v>
      </c>
      <c r="E20" s="377"/>
      <c r="F20" s="378"/>
    </row>
    <row r="21" spans="2:6" ht="18.75">
      <c r="B21" s="379" t="s">
        <v>414</v>
      </c>
      <c r="C21" s="380" t="s">
        <v>1217</v>
      </c>
      <c r="D21" s="377">
        <f>20+20+787</f>
        <v>827</v>
      </c>
      <c r="E21" s="377"/>
      <c r="F21" s="378"/>
    </row>
    <row r="22" spans="2:6" ht="18.75">
      <c r="B22" s="379" t="s">
        <v>192</v>
      </c>
      <c r="C22" s="380" t="s">
        <v>1217</v>
      </c>
      <c r="D22" s="377">
        <f>1477+70</f>
        <v>1547</v>
      </c>
      <c r="E22" s="377"/>
      <c r="F22" s="378"/>
    </row>
    <row r="23" spans="2:6" ht="18.75">
      <c r="B23" s="379" t="s">
        <v>196</v>
      </c>
      <c r="C23" s="380" t="s">
        <v>1217</v>
      </c>
      <c r="D23" s="377">
        <v>76</v>
      </c>
      <c r="E23" s="377"/>
      <c r="F23" s="378"/>
    </row>
    <row r="24" spans="2:6" ht="19.5" thickBot="1">
      <c r="B24" s="381" t="s">
        <v>1218</v>
      </c>
      <c r="C24" s="382"/>
      <c r="D24" s="383">
        <f>SUM(D17:D23)</f>
        <v>7632</v>
      </c>
      <c r="E24" s="383"/>
      <c r="F24" s="384"/>
    </row>
    <row r="25" spans="2:6" ht="19.5" thickBot="1">
      <c r="B25" s="385"/>
      <c r="C25" s="386"/>
      <c r="D25" s="385"/>
      <c r="E25" s="385"/>
      <c r="F25" s="385"/>
    </row>
    <row r="26" spans="2:6" ht="18.75">
      <c r="B26" s="689" t="s">
        <v>1220</v>
      </c>
      <c r="C26" s="690"/>
      <c r="D26" s="690"/>
      <c r="E26" s="690"/>
      <c r="F26" s="691"/>
    </row>
    <row r="27" spans="2:6" ht="18.75">
      <c r="B27" s="374" t="s">
        <v>1213</v>
      </c>
      <c r="C27" s="375" t="s">
        <v>1214</v>
      </c>
      <c r="D27" s="376" t="s">
        <v>1215</v>
      </c>
      <c r="E27" s="377"/>
      <c r="F27" s="378"/>
    </row>
    <row r="28" spans="2:6" ht="18.75">
      <c r="B28" s="379" t="s">
        <v>180</v>
      </c>
      <c r="C28" s="380" t="s">
        <v>1216</v>
      </c>
      <c r="D28" s="377">
        <v>110</v>
      </c>
      <c r="E28" s="377"/>
      <c r="F28" s="378"/>
    </row>
    <row r="29" spans="2:6" ht="18.75">
      <c r="B29" s="379" t="s">
        <v>127</v>
      </c>
      <c r="C29" s="380" t="s">
        <v>1217</v>
      </c>
      <c r="D29" s="377">
        <v>325</v>
      </c>
      <c r="E29" s="377"/>
      <c r="F29" s="378"/>
    </row>
    <row r="30" spans="2:6" ht="18.75">
      <c r="B30" s="379" t="s">
        <v>186</v>
      </c>
      <c r="C30" s="380" t="s">
        <v>1217</v>
      </c>
      <c r="D30" s="377">
        <v>194</v>
      </c>
      <c r="E30" s="377"/>
      <c r="F30" s="378"/>
    </row>
    <row r="31" spans="2:6" ht="18.75">
      <c r="B31" s="379" t="s">
        <v>414</v>
      </c>
      <c r="C31" s="380" t="s">
        <v>1217</v>
      </c>
      <c r="D31" s="377">
        <v>1218</v>
      </c>
      <c r="E31" s="377"/>
      <c r="F31" s="378"/>
    </row>
    <row r="32" spans="2:6" ht="19.5" thickBot="1">
      <c r="B32" s="381" t="s">
        <v>1218</v>
      </c>
      <c r="C32" s="382"/>
      <c r="D32" s="383">
        <f>SUM(D28:D31)</f>
        <v>1847</v>
      </c>
      <c r="E32" s="383"/>
      <c r="F32" s="384"/>
    </row>
    <row r="33" spans="2:6" ht="19.5" thickBot="1">
      <c r="B33" s="385"/>
      <c r="C33" s="386"/>
      <c r="D33" s="385"/>
      <c r="E33" s="385"/>
      <c r="F33" s="385"/>
    </row>
    <row r="34" spans="2:6" ht="18.75">
      <c r="B34" s="689" t="s">
        <v>810</v>
      </c>
      <c r="C34" s="690"/>
      <c r="D34" s="690"/>
      <c r="E34" s="690"/>
      <c r="F34" s="691"/>
    </row>
    <row r="35" spans="2:6" ht="18.75">
      <c r="B35" s="374" t="s">
        <v>1213</v>
      </c>
      <c r="C35" s="375" t="s">
        <v>1214</v>
      </c>
      <c r="D35" s="376" t="s">
        <v>1215</v>
      </c>
      <c r="E35" s="377"/>
      <c r="F35" s="378"/>
    </row>
    <row r="36" spans="2:6" ht="18.75">
      <c r="B36" s="379" t="s">
        <v>180</v>
      </c>
      <c r="C36" s="380" t="s">
        <v>1216</v>
      </c>
      <c r="D36" s="377">
        <v>21</v>
      </c>
      <c r="E36" s="377"/>
      <c r="F36" s="378"/>
    </row>
    <row r="37" spans="2:6" ht="18.75">
      <c r="B37" s="379" t="s">
        <v>127</v>
      </c>
      <c r="C37" s="380" t="s">
        <v>1217</v>
      </c>
      <c r="D37" s="377">
        <v>18</v>
      </c>
      <c r="E37" s="377"/>
      <c r="F37" s="378"/>
    </row>
    <row r="38" spans="2:6" ht="18.75">
      <c r="B38" s="379" t="s">
        <v>186</v>
      </c>
      <c r="C38" s="380" t="s">
        <v>1217</v>
      </c>
      <c r="D38" s="377">
        <v>159</v>
      </c>
      <c r="E38" s="377"/>
      <c r="F38" s="378"/>
    </row>
    <row r="39" spans="2:6" ht="18.75">
      <c r="B39" s="379" t="s">
        <v>414</v>
      </c>
      <c r="C39" s="380" t="s">
        <v>1217</v>
      </c>
      <c r="D39" s="377">
        <v>13</v>
      </c>
      <c r="E39" s="377"/>
      <c r="F39" s="378"/>
    </row>
    <row r="40" spans="2:6" ht="19.5" thickBot="1">
      <c r="B40" s="381" t="s">
        <v>1218</v>
      </c>
      <c r="C40" s="382"/>
      <c r="D40" s="383">
        <f>SUM(D36:D39)</f>
        <v>211</v>
      </c>
      <c r="E40" s="383"/>
      <c r="F40" s="384"/>
    </row>
    <row r="41" spans="2:6" ht="18.75">
      <c r="B41" s="387"/>
      <c r="C41" s="388"/>
      <c r="D41" s="387"/>
      <c r="E41" s="387"/>
      <c r="F41" s="387"/>
    </row>
    <row r="42" spans="2:6" ht="19.5" thickBot="1">
      <c r="B42" s="387"/>
      <c r="C42" s="388"/>
      <c r="D42" s="387"/>
      <c r="E42" s="387"/>
      <c r="F42" s="387"/>
    </row>
    <row r="43" spans="2:6" ht="18.75">
      <c r="B43" s="689" t="s">
        <v>681</v>
      </c>
      <c r="C43" s="690"/>
      <c r="D43" s="690"/>
      <c r="E43" s="690"/>
      <c r="F43" s="691"/>
    </row>
    <row r="44" spans="2:6" ht="18.75">
      <c r="B44" s="374" t="s">
        <v>1213</v>
      </c>
      <c r="C44" s="375" t="s">
        <v>1214</v>
      </c>
      <c r="D44" s="376" t="s">
        <v>1215</v>
      </c>
      <c r="E44" s="377"/>
      <c r="F44" s="378"/>
    </row>
    <row r="45" spans="2:6" ht="18.75">
      <c r="B45" s="379" t="s">
        <v>180</v>
      </c>
      <c r="C45" s="380" t="s">
        <v>1216</v>
      </c>
      <c r="D45" s="377">
        <v>608</v>
      </c>
      <c r="E45" s="377"/>
      <c r="F45" s="378"/>
    </row>
    <row r="46" spans="2:6" ht="18.75">
      <c r="B46" s="379" t="s">
        <v>127</v>
      </c>
      <c r="C46" s="380" t="s">
        <v>1217</v>
      </c>
      <c r="D46" s="377">
        <v>2673</v>
      </c>
      <c r="E46" s="377"/>
      <c r="F46" s="378"/>
    </row>
    <row r="47" spans="2:6" ht="18.75">
      <c r="B47" s="379" t="s">
        <v>186</v>
      </c>
      <c r="C47" s="380" t="s">
        <v>1217</v>
      </c>
      <c r="D47" s="377">
        <v>829</v>
      </c>
      <c r="E47" s="377"/>
      <c r="F47" s="378"/>
    </row>
    <row r="48" spans="2:6" ht="18.75">
      <c r="B48" s="379" t="s">
        <v>414</v>
      </c>
      <c r="C48" s="380" t="s">
        <v>1217</v>
      </c>
      <c r="D48" s="377">
        <v>13</v>
      </c>
      <c r="E48" s="377"/>
      <c r="F48" s="378"/>
    </row>
    <row r="49" spans="2:6" ht="19.5" thickBot="1">
      <c r="B49" s="381" t="s">
        <v>1218</v>
      </c>
      <c r="C49" s="382"/>
      <c r="D49" s="383">
        <f>SUM(D45:D48)</f>
        <v>4123</v>
      </c>
      <c r="E49" s="383"/>
      <c r="F49" s="384"/>
    </row>
    <row r="50" spans="2:6" ht="18.75">
      <c r="B50" s="385"/>
      <c r="C50" s="385"/>
      <c r="D50" s="385"/>
      <c r="E50" s="385"/>
      <c r="F50" s="385"/>
    </row>
    <row r="51" spans="2:6" ht="19.5" thickBot="1">
      <c r="B51" s="385"/>
      <c r="C51" s="386"/>
      <c r="D51" s="385"/>
      <c r="E51" s="385"/>
      <c r="F51" s="385"/>
    </row>
    <row r="52" spans="2:6" ht="18.75">
      <c r="B52" s="689" t="s">
        <v>1221</v>
      </c>
      <c r="C52" s="690"/>
      <c r="D52" s="690"/>
      <c r="E52" s="690"/>
      <c r="F52" s="691"/>
    </row>
    <row r="53" spans="2:6" ht="18.75">
      <c r="B53" s="374" t="s">
        <v>1213</v>
      </c>
      <c r="C53" s="375" t="s">
        <v>1214</v>
      </c>
      <c r="D53" s="376" t="s">
        <v>1215</v>
      </c>
      <c r="E53" s="377"/>
      <c r="F53" s="378"/>
    </row>
    <row r="54" spans="2:6" ht="18.75">
      <c r="B54" s="379" t="s">
        <v>180</v>
      </c>
      <c r="C54" s="380" t="s">
        <v>1216</v>
      </c>
      <c r="D54" s="377">
        <v>396</v>
      </c>
      <c r="E54" s="377"/>
      <c r="F54" s="378"/>
    </row>
    <row r="55" spans="2:6" ht="18.75">
      <c r="B55" s="379" t="s">
        <v>127</v>
      </c>
      <c r="C55" s="380" t="s">
        <v>1217</v>
      </c>
      <c r="D55" s="377">
        <v>1276</v>
      </c>
      <c r="E55" s="377"/>
      <c r="F55" s="378"/>
    </row>
    <row r="56" spans="2:6" ht="18.75">
      <c r="B56" s="379" t="s">
        <v>1222</v>
      </c>
      <c r="C56" s="380" t="s">
        <v>1217</v>
      </c>
      <c r="D56" s="377">
        <v>1398</v>
      </c>
      <c r="E56" s="377"/>
      <c r="F56" s="378"/>
    </row>
    <row r="57" spans="2:6" ht="60.75" customHeight="1">
      <c r="B57" s="389" t="s">
        <v>1223</v>
      </c>
      <c r="C57" s="380" t="s">
        <v>1217</v>
      </c>
      <c r="D57" s="377">
        <v>1965</v>
      </c>
      <c r="E57" s="377"/>
      <c r="F57" s="378"/>
    </row>
    <row r="58" spans="2:6" ht="19.5" thickBot="1">
      <c r="B58" s="381" t="s">
        <v>1218</v>
      </c>
      <c r="C58" s="382"/>
      <c r="D58" s="383">
        <f>SUM(D54:D57)</f>
        <v>5035</v>
      </c>
      <c r="E58" s="383"/>
      <c r="F58" s="384"/>
    </row>
  </sheetData>
  <mergeCells count="8">
    <mergeCell ref="B52:F52"/>
    <mergeCell ref="H5:L5"/>
    <mergeCell ref="B3:F3"/>
    <mergeCell ref="B5:F5"/>
    <mergeCell ref="B15:F15"/>
    <mergeCell ref="B26:F26"/>
    <mergeCell ref="B34:F34"/>
    <mergeCell ref="B43:F43"/>
  </mergeCells>
  <pageMargins left="0.51181102362204722" right="0.51181102362204722" top="0.78740157480314965" bottom="0.78740157480314965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5</vt:i4>
      </vt:variant>
    </vt:vector>
  </HeadingPairs>
  <TitlesOfParts>
    <vt:vector size="13" baseType="lpstr">
      <vt:lpstr>Orçamento Sintético</vt:lpstr>
      <vt:lpstr>Orçamento Resumo</vt:lpstr>
      <vt:lpstr>Cronograma</vt:lpstr>
      <vt:lpstr>Comp. ORSE com insumos SINAPI</vt:lpstr>
      <vt:lpstr>Composições IFPB</vt:lpstr>
      <vt:lpstr>Memória Civil</vt:lpstr>
      <vt:lpstr>Memoria estrutural</vt:lpstr>
      <vt:lpstr>Memória aço</vt:lpstr>
      <vt:lpstr>Cronograma!Area_de_impressao</vt:lpstr>
      <vt:lpstr>'Orçamento Sintético'!Area_de_impressao</vt:lpstr>
      <vt:lpstr>Cronograma!Titulos_de_impressao</vt:lpstr>
      <vt:lpstr>'Orçamento Resumo'!Titulos_de_impressao</vt:lpstr>
      <vt:lpstr>'Orçamento Sintético'!Titulos_de_impressao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OBRAS-06</cp:lastModifiedBy>
  <cp:lastPrinted>2018-11-23T17:31:09Z</cp:lastPrinted>
  <dcterms:created xsi:type="dcterms:W3CDTF">2007-09-28T23:20:37Z</dcterms:created>
  <dcterms:modified xsi:type="dcterms:W3CDTF">2018-11-23T17:31:13Z</dcterms:modified>
</cp:coreProperties>
</file>